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orimoto\Desktop\"/>
    </mc:Choice>
  </mc:AlternateContent>
  <xr:revisionPtr revIDLastSave="0" documentId="13_ncr:1_{2E1ECB86-A975-4678-814D-C8EFBDC647B3}" xr6:coauthVersionLast="47" xr6:coauthVersionMax="47" xr10:uidLastSave="{00000000-0000-0000-0000-000000000000}"/>
  <bookViews>
    <workbookView xWindow="-108" yWindow="-108" windowWidth="23256" windowHeight="12456" activeTab="1" xr2:uid="{366EAC7A-1814-4E5D-A9E2-05BC904770CD}"/>
  </bookViews>
  <sheets>
    <sheet name="確認事項※必ず確認ください" sheetId="26" r:id="rId1"/>
    <sheet name="【入力様式】イベント広場" sheetId="1" r:id="rId2"/>
    <sheet name="【通常】請求書※入力不要" sheetId="25" state="hidden" r:id="rId3"/>
    <sheet name="【通常】明細※入力不要" sheetId="29" state="hidden" r:id="rId4"/>
    <sheet name="【営利用】請求書※入力不要" sheetId="33" state="hidden" r:id="rId5"/>
    <sheet name="【営利用】明細※入力不要" sheetId="34" state="hidden" r:id="rId6"/>
    <sheet name="【通常】様式第１号(申請書)※入力不要" sheetId="13" state="hidden" r:id="rId7"/>
    <sheet name="【営利用】様式第１号(申請書)※入力不要" sheetId="31" state="hidden" r:id="rId8"/>
    <sheet name="【通常】様式第３号(許可書)※入力不要" sheetId="30" state="hidden" r:id="rId9"/>
    <sheet name="【営利用】様式第３号(許可書) ※入力不要" sheetId="32" state="hidden" r:id="rId10"/>
    <sheet name="データ（触らない）" sheetId="2" state="hidden" r:id="rId11"/>
    <sheet name="貼付用データ" sheetId="8" state="hidden" r:id="rId12"/>
  </sheets>
  <definedNames>
    <definedName name="_xlnm._FilterDatabase" localSheetId="11" hidden="1">貼付用データ!$A$8:$H$213</definedName>
    <definedName name="_xlnm.Print_Area" localSheetId="4">【営利用】請求書※入力不要!$A$1:$K$31</definedName>
    <definedName name="_xlnm.Print_Area" localSheetId="5">【営利用】明細※入力不要!$A$1:$G$15</definedName>
    <definedName name="_xlnm.Print_Area" localSheetId="7">'【営利用】様式第１号(申請書)※入力不要'!$A$1:$J$27</definedName>
    <definedName name="_xlnm.Print_Area" localSheetId="9">'【営利用】様式第３号(許可書) ※入力不要'!$A$1:$J$27</definedName>
    <definedName name="_xlnm.Print_Area" localSheetId="2">【通常】請求書※入力不要!$A$1:$K$31</definedName>
    <definedName name="_xlnm.Print_Area" localSheetId="3">【通常】明細※入力不要!$A$1:$G$15</definedName>
    <definedName name="_xlnm.Print_Area" localSheetId="6">'【通常】様式第１号(申請書)※入力不要'!$A$1:$J$27</definedName>
    <definedName name="_xlnm.Print_Area" localSheetId="8">'【通常】様式第３号(許可書)※入力不要'!$A$1:$J$27</definedName>
    <definedName name="_xlnm.Print_Area" localSheetId="1">【入力様式】イベント広場!$A$1:$H$69</definedName>
    <definedName name="区分02">#REF!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3" i="31" l="1"/>
  <c r="B23" i="31"/>
  <c r="G24" i="13"/>
  <c r="G23" i="13"/>
  <c r="B23" i="13"/>
  <c r="D7" i="34" l="1"/>
  <c r="D6" i="34"/>
  <c r="D4" i="34"/>
  <c r="D5" i="34"/>
  <c r="C7" i="34"/>
  <c r="B7" i="34"/>
  <c r="C6" i="34"/>
  <c r="B6" i="34"/>
  <c r="C5" i="34"/>
  <c r="B5" i="34"/>
  <c r="C4" i="34"/>
  <c r="B4" i="34"/>
  <c r="C3" i="34"/>
  <c r="D5" i="29"/>
  <c r="C7" i="29"/>
  <c r="C6" i="29"/>
  <c r="C5" i="29"/>
  <c r="C4" i="29"/>
  <c r="C3" i="29"/>
  <c r="B7" i="29"/>
  <c r="B6" i="29"/>
  <c r="B5" i="29"/>
  <c r="B4" i="29"/>
  <c r="B23" i="32"/>
  <c r="P65" i="1"/>
  <c r="P66" i="1" s="1"/>
  <c r="M65" i="1"/>
  <c r="M64" i="1"/>
  <c r="D7" i="29" s="1"/>
  <c r="P55" i="1"/>
  <c r="P56" i="1" s="1"/>
  <c r="M55" i="1"/>
  <c r="M54" i="1"/>
  <c r="M56" i="1" s="1"/>
  <c r="P45" i="1"/>
  <c r="P46" i="1" s="1"/>
  <c r="M45" i="1"/>
  <c r="M44" i="1"/>
  <c r="M46" i="1" s="1"/>
  <c r="P35" i="1"/>
  <c r="P36" i="1" s="1"/>
  <c r="M35" i="1"/>
  <c r="M34" i="1"/>
  <c r="M36" i="1" s="1"/>
  <c r="P25" i="1"/>
  <c r="P26" i="1" s="1"/>
  <c r="M25" i="1"/>
  <c r="M24" i="1"/>
  <c r="M26" i="1" s="1"/>
  <c r="D6" i="29" l="1"/>
  <c r="G23" i="30"/>
  <c r="D11" i="34"/>
  <c r="F11" i="34" s="1"/>
  <c r="G23" i="32"/>
  <c r="G24" i="32" s="1"/>
  <c r="D11" i="29"/>
  <c r="M66" i="1"/>
  <c r="D4" i="29"/>
  <c r="B23" i="30"/>
  <c r="D3" i="29"/>
  <c r="G24" i="31"/>
  <c r="D8" i="29" l="1"/>
  <c r="G24" i="30"/>
  <c r="C21" i="1" l="1"/>
  <c r="D3" i="34"/>
  <c r="G21" i="32"/>
  <c r="E18" i="32"/>
  <c r="E17" i="32"/>
  <c r="B16" i="32"/>
  <c r="B15" i="32"/>
  <c r="I10" i="32"/>
  <c r="E10" i="32"/>
  <c r="E9" i="32"/>
  <c r="E8" i="32"/>
  <c r="E7" i="32"/>
  <c r="H3" i="32"/>
  <c r="G21" i="31"/>
  <c r="E18" i="31"/>
  <c r="I9" i="33" s="1"/>
  <c r="E17" i="31"/>
  <c r="D9" i="33" s="1"/>
  <c r="B16" i="31"/>
  <c r="B15" i="31"/>
  <c r="D10" i="33" s="1"/>
  <c r="I10" i="31"/>
  <c r="E10" i="31"/>
  <c r="E9" i="31"/>
  <c r="E8" i="31"/>
  <c r="C3" i="33" s="1"/>
  <c r="E7" i="31"/>
  <c r="H3" i="31"/>
  <c r="G21" i="30"/>
  <c r="E18" i="30"/>
  <c r="E17" i="30"/>
  <c r="B16" i="30"/>
  <c r="B15" i="30"/>
  <c r="I10" i="30"/>
  <c r="E10" i="30"/>
  <c r="E9" i="30"/>
  <c r="E8" i="30"/>
  <c r="E7" i="30"/>
  <c r="H3" i="30"/>
  <c r="E18" i="13"/>
  <c r="I9" i="25" s="1"/>
  <c r="E17" i="13"/>
  <c r="D9" i="25" s="1"/>
  <c r="D13" i="1"/>
  <c r="E14" i="1"/>
  <c r="E19" i="13" s="1"/>
  <c r="E7" i="13"/>
  <c r="H3" i="13"/>
  <c r="D12" i="1"/>
  <c r="G21" i="13"/>
  <c r="B16" i="13"/>
  <c r="B15" i="13"/>
  <c r="D10" i="25" s="1"/>
  <c r="I10" i="13"/>
  <c r="E10" i="13"/>
  <c r="E9" i="13"/>
  <c r="E8" i="13"/>
  <c r="C3" i="25" s="1"/>
  <c r="B3" i="29" l="1"/>
  <c r="B3" i="34"/>
  <c r="E19" i="31"/>
  <c r="E19" i="32"/>
  <c r="D8" i="34"/>
  <c r="F12" i="34"/>
  <c r="E19" i="30"/>
  <c r="F11" i="29"/>
  <c r="F12" i="29" s="1"/>
  <c r="F14" i="29" s="1"/>
  <c r="O40" i="2"/>
  <c r="O39" i="2"/>
  <c r="O38" i="2"/>
  <c r="O35" i="2"/>
  <c r="O32" i="2"/>
  <c r="O27" i="2"/>
  <c r="O37" i="2"/>
  <c r="O36" i="2"/>
  <c r="O34" i="2"/>
  <c r="O33" i="2"/>
  <c r="O31" i="2"/>
  <c r="O30" i="2"/>
  <c r="O26" i="2"/>
  <c r="O25" i="2"/>
  <c r="O29" i="2"/>
  <c r="O28" i="2"/>
  <c r="O24" i="2"/>
  <c r="O23" i="2"/>
  <c r="N40" i="2"/>
  <c r="N39" i="2"/>
  <c r="N38" i="2"/>
  <c r="N35" i="2"/>
  <c r="N32" i="2"/>
  <c r="N27" i="2"/>
  <c r="N37" i="2"/>
  <c r="N36" i="2"/>
  <c r="N34" i="2"/>
  <c r="N33" i="2"/>
  <c r="N31" i="2"/>
  <c r="N30" i="2"/>
  <c r="N26" i="2"/>
  <c r="N25" i="2"/>
  <c r="N29" i="2"/>
  <c r="N28" i="2"/>
  <c r="N24" i="2"/>
  <c r="N23" i="2"/>
  <c r="M40" i="2"/>
  <c r="M39" i="2"/>
  <c r="M38" i="2"/>
  <c r="M35" i="2"/>
  <c r="M32" i="2"/>
  <c r="M27" i="2"/>
  <c r="M37" i="2"/>
  <c r="M36" i="2"/>
  <c r="M34" i="2"/>
  <c r="M33" i="2"/>
  <c r="M31" i="2"/>
  <c r="M30" i="2"/>
  <c r="M26" i="2"/>
  <c r="M25" i="2"/>
  <c r="M29" i="2"/>
  <c r="M28" i="2"/>
  <c r="M24" i="2"/>
  <c r="M23" i="2"/>
  <c r="L40" i="2"/>
  <c r="L39" i="2"/>
  <c r="L38" i="2"/>
  <c r="L35" i="2"/>
  <c r="L32" i="2"/>
  <c r="L27" i="2"/>
  <c r="L37" i="2"/>
  <c r="L36" i="2"/>
  <c r="L34" i="2"/>
  <c r="L33" i="2"/>
  <c r="L31" i="2"/>
  <c r="L30" i="2"/>
  <c r="L26" i="2"/>
  <c r="L25" i="2"/>
  <c r="L29" i="2"/>
  <c r="L28" i="2"/>
  <c r="L24" i="2"/>
  <c r="L23" i="2"/>
  <c r="K27" i="2"/>
  <c r="K40" i="2"/>
  <c r="K39" i="2"/>
  <c r="K38" i="2"/>
  <c r="K35" i="2"/>
  <c r="K32" i="2"/>
  <c r="K37" i="2"/>
  <c r="K36" i="2"/>
  <c r="K34" i="2"/>
  <c r="K33" i="2"/>
  <c r="K31" i="2"/>
  <c r="K30" i="2"/>
  <c r="K26" i="2"/>
  <c r="K25" i="2"/>
  <c r="K29" i="2"/>
  <c r="K28" i="2"/>
  <c r="K24" i="2"/>
  <c r="K23" i="2"/>
  <c r="J40" i="2"/>
  <c r="J39" i="2"/>
  <c r="J38" i="2"/>
  <c r="J35" i="2"/>
  <c r="J32" i="2"/>
  <c r="J27" i="2"/>
  <c r="J37" i="2"/>
  <c r="J36" i="2"/>
  <c r="J34" i="2"/>
  <c r="J33" i="2"/>
  <c r="J31" i="2"/>
  <c r="J30" i="2"/>
  <c r="J26" i="2"/>
  <c r="J25" i="2"/>
  <c r="J29" i="2"/>
  <c r="J28" i="2"/>
  <c r="J24" i="2"/>
  <c r="J23" i="2"/>
  <c r="I40" i="2"/>
  <c r="I39" i="2"/>
  <c r="I38" i="2"/>
  <c r="I35" i="2"/>
  <c r="I32" i="2"/>
  <c r="I27" i="2"/>
  <c r="I37" i="2"/>
  <c r="I36" i="2"/>
  <c r="I34" i="2"/>
  <c r="I33" i="2"/>
  <c r="I31" i="2"/>
  <c r="I30" i="2"/>
  <c r="I26" i="2"/>
  <c r="I25" i="2"/>
  <c r="I29" i="2"/>
  <c r="I28" i="2"/>
  <c r="I24" i="2"/>
  <c r="I23" i="2"/>
  <c r="H40" i="2"/>
  <c r="H39" i="2"/>
  <c r="H38" i="2"/>
  <c r="H35" i="2"/>
  <c r="H32" i="2"/>
  <c r="H27" i="2"/>
  <c r="H37" i="2"/>
  <c r="H36" i="2"/>
  <c r="H34" i="2"/>
  <c r="H33" i="2"/>
  <c r="H31" i="2"/>
  <c r="H30" i="2"/>
  <c r="H26" i="2"/>
  <c r="H25" i="2"/>
  <c r="H29" i="2"/>
  <c r="H28" i="2"/>
  <c r="H24" i="2"/>
  <c r="H23" i="2"/>
  <c r="F14" i="34" l="1"/>
  <c r="D5" i="33"/>
  <c r="K22" i="33" s="1"/>
  <c r="K23" i="33" s="1"/>
  <c r="G173" i="8"/>
  <c r="G195" i="8"/>
  <c r="G188" i="8"/>
  <c r="G176" i="8"/>
  <c r="G175" i="8"/>
  <c r="G174" i="8"/>
  <c r="G154" i="8"/>
  <c r="G147" i="8"/>
  <c r="G135" i="8"/>
  <c r="G134" i="8"/>
  <c r="G133" i="8"/>
  <c r="G132" i="8"/>
  <c r="G113" i="8"/>
  <c r="G106" i="8"/>
  <c r="G94" i="8"/>
  <c r="G93" i="8"/>
  <c r="G92" i="8"/>
  <c r="G91" i="8"/>
  <c r="G72" i="8"/>
  <c r="G65" i="8"/>
  <c r="G53" i="8"/>
  <c r="G52" i="8"/>
  <c r="G50" i="8"/>
  <c r="L8" i="2"/>
  <c r="K6" i="2"/>
  <c r="K5" i="2"/>
  <c r="K7" i="2"/>
  <c r="J8" i="2"/>
  <c r="J9" i="2"/>
  <c r="H15" i="2"/>
  <c r="I6" i="2"/>
  <c r="G13" i="8" l="1"/>
  <c r="G54" i="8"/>
  <c r="G136" i="8"/>
  <c r="G95" i="8"/>
  <c r="G177" i="8"/>
  <c r="F213" i="8"/>
  <c r="D213" i="8"/>
  <c r="G213" i="8" s="1"/>
  <c r="B213" i="8"/>
  <c r="F212" i="8"/>
  <c r="D212" i="8"/>
  <c r="B212" i="8"/>
  <c r="F211" i="8"/>
  <c r="D211" i="8"/>
  <c r="B211" i="8"/>
  <c r="F210" i="8"/>
  <c r="D210" i="8"/>
  <c r="G210" i="8" s="1"/>
  <c r="B210" i="8"/>
  <c r="F209" i="8"/>
  <c r="D209" i="8"/>
  <c r="G209" i="8" s="1"/>
  <c r="B209" i="8"/>
  <c r="F208" i="8"/>
  <c r="D208" i="8"/>
  <c r="G208" i="8" s="1"/>
  <c r="B208" i="8"/>
  <c r="F207" i="8"/>
  <c r="D207" i="8"/>
  <c r="G207" i="8" s="1"/>
  <c r="B207" i="8"/>
  <c r="F206" i="8"/>
  <c r="D206" i="8"/>
  <c r="G206" i="8" s="1"/>
  <c r="B206" i="8"/>
  <c r="F205" i="8"/>
  <c r="D205" i="8"/>
  <c r="G205" i="8" s="1"/>
  <c r="B205" i="8"/>
  <c r="F204" i="8"/>
  <c r="D204" i="8"/>
  <c r="G204" i="8" s="1"/>
  <c r="B204" i="8"/>
  <c r="F203" i="8"/>
  <c r="D203" i="8"/>
  <c r="G203" i="8" s="1"/>
  <c r="B203" i="8"/>
  <c r="F202" i="8"/>
  <c r="D202" i="8"/>
  <c r="B202" i="8"/>
  <c r="F201" i="8"/>
  <c r="D201" i="8"/>
  <c r="G201" i="8" s="1"/>
  <c r="B201" i="8"/>
  <c r="F200" i="8"/>
  <c r="D200" i="8"/>
  <c r="G200" i="8" s="1"/>
  <c r="B200" i="8"/>
  <c r="F199" i="8"/>
  <c r="D199" i="8"/>
  <c r="G199" i="8" s="1"/>
  <c r="B199" i="8"/>
  <c r="F198" i="8"/>
  <c r="D198" i="8"/>
  <c r="G198" i="8" s="1"/>
  <c r="B198" i="8"/>
  <c r="F197" i="8"/>
  <c r="D197" i="8"/>
  <c r="G197" i="8" s="1"/>
  <c r="B197" i="8"/>
  <c r="F196" i="8"/>
  <c r="D196" i="8"/>
  <c r="G196" i="8" s="1"/>
  <c r="B196" i="8"/>
  <c r="E195" i="8"/>
  <c r="F195" i="8" s="1"/>
  <c r="H195" i="8" s="1"/>
  <c r="D195" i="8"/>
  <c r="B195" i="8"/>
  <c r="F194" i="8"/>
  <c r="D194" i="8"/>
  <c r="G194" i="8" s="1"/>
  <c r="B194" i="8"/>
  <c r="F193" i="8"/>
  <c r="D193" i="8"/>
  <c r="G193" i="8" s="1"/>
  <c r="B193" i="8"/>
  <c r="F192" i="8"/>
  <c r="D192" i="8"/>
  <c r="G192" i="8" s="1"/>
  <c r="B192" i="8"/>
  <c r="F191" i="8"/>
  <c r="D191" i="8"/>
  <c r="G191" i="8" s="1"/>
  <c r="B191" i="8"/>
  <c r="F190" i="8"/>
  <c r="D190" i="8"/>
  <c r="G190" i="8" s="1"/>
  <c r="B190" i="8"/>
  <c r="F189" i="8"/>
  <c r="D189" i="8"/>
  <c r="G189" i="8" s="1"/>
  <c r="B189" i="8"/>
  <c r="E188" i="8"/>
  <c r="F188" i="8" s="1"/>
  <c r="D188" i="8"/>
  <c r="B188" i="8"/>
  <c r="F187" i="8"/>
  <c r="D187" i="8"/>
  <c r="G187" i="8" s="1"/>
  <c r="B187" i="8"/>
  <c r="F186" i="8"/>
  <c r="D186" i="8"/>
  <c r="G186" i="8" s="1"/>
  <c r="B186" i="8"/>
  <c r="F185" i="8"/>
  <c r="D185" i="8"/>
  <c r="G185" i="8" s="1"/>
  <c r="B185" i="8"/>
  <c r="F184" i="8"/>
  <c r="D184" i="8"/>
  <c r="G184" i="8" s="1"/>
  <c r="B184" i="8"/>
  <c r="F183" i="8"/>
  <c r="D183" i="8"/>
  <c r="G183" i="8" s="1"/>
  <c r="B183" i="8"/>
  <c r="F182" i="8"/>
  <c r="D182" i="8"/>
  <c r="G182" i="8" s="1"/>
  <c r="B182" i="8"/>
  <c r="F181" i="8"/>
  <c r="D181" i="8"/>
  <c r="G181" i="8" s="1"/>
  <c r="B181" i="8"/>
  <c r="F180" i="8"/>
  <c r="D180" i="8"/>
  <c r="G180" i="8" s="1"/>
  <c r="B180" i="8"/>
  <c r="F179" i="8"/>
  <c r="D179" i="8"/>
  <c r="G179" i="8" s="1"/>
  <c r="B179" i="8"/>
  <c r="F178" i="8"/>
  <c r="D178" i="8"/>
  <c r="G178" i="8" s="1"/>
  <c r="B178" i="8"/>
  <c r="D177" i="8"/>
  <c r="B177" i="8"/>
  <c r="E176" i="8"/>
  <c r="F176" i="8" s="1"/>
  <c r="D176" i="8"/>
  <c r="B176" i="8"/>
  <c r="E175" i="8"/>
  <c r="F175" i="8" s="1"/>
  <c r="D175" i="8"/>
  <c r="B175" i="8"/>
  <c r="E174" i="8"/>
  <c r="F174" i="8" s="1"/>
  <c r="H174" i="8" s="1"/>
  <c r="D174" i="8"/>
  <c r="B174" i="8"/>
  <c r="E173" i="8"/>
  <c r="F173" i="8" s="1"/>
  <c r="H173" i="8" s="1"/>
  <c r="D173" i="8"/>
  <c r="B173" i="8"/>
  <c r="D6" i="8" s="1"/>
  <c r="F172" i="8"/>
  <c r="D172" i="8"/>
  <c r="G172" i="8" s="1"/>
  <c r="B172" i="8"/>
  <c r="F171" i="8"/>
  <c r="D171" i="8"/>
  <c r="G171" i="8" s="1"/>
  <c r="B171" i="8"/>
  <c r="F170" i="8"/>
  <c r="D170" i="8"/>
  <c r="G170" i="8" s="1"/>
  <c r="B170" i="8"/>
  <c r="F169" i="8"/>
  <c r="D169" i="8"/>
  <c r="G169" i="8" s="1"/>
  <c r="B169" i="8"/>
  <c r="F168" i="8"/>
  <c r="D168" i="8"/>
  <c r="G168" i="8" s="1"/>
  <c r="B168" i="8"/>
  <c r="F167" i="8"/>
  <c r="D167" i="8"/>
  <c r="G167" i="8" s="1"/>
  <c r="B167" i="8"/>
  <c r="F166" i="8"/>
  <c r="D166" i="8"/>
  <c r="G166" i="8" s="1"/>
  <c r="B166" i="8"/>
  <c r="F165" i="8"/>
  <c r="D165" i="8"/>
  <c r="G165" i="8" s="1"/>
  <c r="B165" i="8"/>
  <c r="F164" i="8"/>
  <c r="D164" i="8"/>
  <c r="G164" i="8" s="1"/>
  <c r="B164" i="8"/>
  <c r="F163" i="8"/>
  <c r="D163" i="8"/>
  <c r="G163" i="8" s="1"/>
  <c r="B163" i="8"/>
  <c r="F162" i="8"/>
  <c r="D162" i="8"/>
  <c r="G162" i="8" s="1"/>
  <c r="B162" i="8"/>
  <c r="F161" i="8"/>
  <c r="D161" i="8"/>
  <c r="G161" i="8" s="1"/>
  <c r="B161" i="8"/>
  <c r="F160" i="8"/>
  <c r="D160" i="8"/>
  <c r="G160" i="8" s="1"/>
  <c r="B160" i="8"/>
  <c r="F159" i="8"/>
  <c r="D159" i="8"/>
  <c r="G159" i="8" s="1"/>
  <c r="B159" i="8"/>
  <c r="F158" i="8"/>
  <c r="D158" i="8"/>
  <c r="G158" i="8" s="1"/>
  <c r="B158" i="8"/>
  <c r="F157" i="8"/>
  <c r="D157" i="8"/>
  <c r="G157" i="8" s="1"/>
  <c r="B157" i="8"/>
  <c r="F156" i="8"/>
  <c r="D156" i="8"/>
  <c r="G156" i="8" s="1"/>
  <c r="B156" i="8"/>
  <c r="F155" i="8"/>
  <c r="D155" i="8"/>
  <c r="G155" i="8" s="1"/>
  <c r="B155" i="8"/>
  <c r="E154" i="8"/>
  <c r="F154" i="8" s="1"/>
  <c r="H154" i="8" s="1"/>
  <c r="D154" i="8"/>
  <c r="B154" i="8"/>
  <c r="F153" i="8"/>
  <c r="D153" i="8"/>
  <c r="G153" i="8" s="1"/>
  <c r="B153" i="8"/>
  <c r="F152" i="8"/>
  <c r="D152" i="8"/>
  <c r="G152" i="8" s="1"/>
  <c r="B152" i="8"/>
  <c r="F151" i="8"/>
  <c r="D151" i="8"/>
  <c r="G151" i="8" s="1"/>
  <c r="B151" i="8"/>
  <c r="F150" i="8"/>
  <c r="D150" i="8"/>
  <c r="G150" i="8" s="1"/>
  <c r="B150" i="8"/>
  <c r="F149" i="8"/>
  <c r="D149" i="8"/>
  <c r="G149" i="8" s="1"/>
  <c r="B149" i="8"/>
  <c r="F148" i="8"/>
  <c r="D148" i="8"/>
  <c r="G148" i="8" s="1"/>
  <c r="B148" i="8"/>
  <c r="E147" i="8"/>
  <c r="F147" i="8" s="1"/>
  <c r="D147" i="8"/>
  <c r="B147" i="8"/>
  <c r="F146" i="8"/>
  <c r="D146" i="8"/>
  <c r="G146" i="8" s="1"/>
  <c r="B146" i="8"/>
  <c r="F145" i="8"/>
  <c r="D145" i="8"/>
  <c r="G145" i="8" s="1"/>
  <c r="B145" i="8"/>
  <c r="F144" i="8"/>
  <c r="D144" i="8"/>
  <c r="B144" i="8"/>
  <c r="F143" i="8"/>
  <c r="D143" i="8"/>
  <c r="G143" i="8" s="1"/>
  <c r="B143" i="8"/>
  <c r="F142" i="8"/>
  <c r="D142" i="8"/>
  <c r="G142" i="8" s="1"/>
  <c r="B142" i="8"/>
  <c r="F141" i="8"/>
  <c r="D141" i="8"/>
  <c r="G141" i="8" s="1"/>
  <c r="B141" i="8"/>
  <c r="F140" i="8"/>
  <c r="D140" i="8"/>
  <c r="G140" i="8" s="1"/>
  <c r="B140" i="8"/>
  <c r="F139" i="8"/>
  <c r="D139" i="8"/>
  <c r="G139" i="8" s="1"/>
  <c r="B139" i="8"/>
  <c r="F138" i="8"/>
  <c r="D138" i="8"/>
  <c r="G138" i="8" s="1"/>
  <c r="B138" i="8"/>
  <c r="F137" i="8"/>
  <c r="D137" i="8"/>
  <c r="G137" i="8" s="1"/>
  <c r="B137" i="8"/>
  <c r="D136" i="8"/>
  <c r="B136" i="8"/>
  <c r="E135" i="8"/>
  <c r="F135" i="8" s="1"/>
  <c r="D135" i="8"/>
  <c r="B135" i="8"/>
  <c r="E134" i="8"/>
  <c r="F134" i="8" s="1"/>
  <c r="D134" i="8"/>
  <c r="B134" i="8"/>
  <c r="E133" i="8"/>
  <c r="F133" i="8" s="1"/>
  <c r="D133" i="8"/>
  <c r="B133" i="8"/>
  <c r="E132" i="8"/>
  <c r="F132" i="8" s="1"/>
  <c r="D132" i="8"/>
  <c r="B132" i="8"/>
  <c r="D5" i="8" s="1"/>
  <c r="F131" i="8"/>
  <c r="D131" i="8"/>
  <c r="G131" i="8" s="1"/>
  <c r="B131" i="8"/>
  <c r="F130" i="8"/>
  <c r="D130" i="8"/>
  <c r="G130" i="8" s="1"/>
  <c r="B130" i="8"/>
  <c r="F129" i="8"/>
  <c r="D129" i="8"/>
  <c r="G129" i="8" s="1"/>
  <c r="B129" i="8"/>
  <c r="F128" i="8"/>
  <c r="D128" i="8"/>
  <c r="G128" i="8" s="1"/>
  <c r="B128" i="8"/>
  <c r="F127" i="8"/>
  <c r="D127" i="8"/>
  <c r="G127" i="8" s="1"/>
  <c r="B127" i="8"/>
  <c r="F126" i="8"/>
  <c r="D126" i="8"/>
  <c r="G126" i="8" s="1"/>
  <c r="B126" i="8"/>
  <c r="F125" i="8"/>
  <c r="D125" i="8"/>
  <c r="G125" i="8" s="1"/>
  <c r="B125" i="8"/>
  <c r="F124" i="8"/>
  <c r="D124" i="8"/>
  <c r="G124" i="8" s="1"/>
  <c r="B124" i="8"/>
  <c r="F123" i="8"/>
  <c r="D123" i="8"/>
  <c r="G123" i="8" s="1"/>
  <c r="B123" i="8"/>
  <c r="F122" i="8"/>
  <c r="D122" i="8"/>
  <c r="G122" i="8" s="1"/>
  <c r="B122" i="8"/>
  <c r="F121" i="8"/>
  <c r="D121" i="8"/>
  <c r="G121" i="8" s="1"/>
  <c r="B121" i="8"/>
  <c r="F120" i="8"/>
  <c r="D120" i="8"/>
  <c r="G120" i="8" s="1"/>
  <c r="B120" i="8"/>
  <c r="F119" i="8"/>
  <c r="D119" i="8"/>
  <c r="G119" i="8" s="1"/>
  <c r="B119" i="8"/>
  <c r="F118" i="8"/>
  <c r="D118" i="8"/>
  <c r="G118" i="8" s="1"/>
  <c r="B118" i="8"/>
  <c r="F117" i="8"/>
  <c r="D117" i="8"/>
  <c r="G117" i="8" s="1"/>
  <c r="B117" i="8"/>
  <c r="F116" i="8"/>
  <c r="D116" i="8"/>
  <c r="G116" i="8" s="1"/>
  <c r="B116" i="8"/>
  <c r="F115" i="8"/>
  <c r="D115" i="8"/>
  <c r="G115" i="8" s="1"/>
  <c r="B115" i="8"/>
  <c r="F114" i="8"/>
  <c r="D114" i="8"/>
  <c r="G114" i="8" s="1"/>
  <c r="B114" i="8"/>
  <c r="E113" i="8"/>
  <c r="F113" i="8" s="1"/>
  <c r="H113" i="8" s="1"/>
  <c r="D113" i="8"/>
  <c r="B113" i="8"/>
  <c r="F112" i="8"/>
  <c r="D112" i="8"/>
  <c r="B112" i="8"/>
  <c r="F111" i="8"/>
  <c r="D111" i="8"/>
  <c r="G111" i="8" s="1"/>
  <c r="B111" i="8"/>
  <c r="F110" i="8"/>
  <c r="D110" i="8"/>
  <c r="G110" i="8" s="1"/>
  <c r="B110" i="8"/>
  <c r="F109" i="8"/>
  <c r="D109" i="8"/>
  <c r="G109" i="8" s="1"/>
  <c r="B109" i="8"/>
  <c r="F108" i="8"/>
  <c r="D108" i="8"/>
  <c r="G108" i="8" s="1"/>
  <c r="C108" i="8"/>
  <c r="B108" i="8"/>
  <c r="F107" i="8"/>
  <c r="D107" i="8"/>
  <c r="G107" i="8" s="1"/>
  <c r="B107" i="8"/>
  <c r="E106" i="8"/>
  <c r="F106" i="8" s="1"/>
  <c r="D106" i="8"/>
  <c r="B106" i="8"/>
  <c r="F105" i="8"/>
  <c r="D105" i="8"/>
  <c r="G105" i="8" s="1"/>
  <c r="B105" i="8"/>
  <c r="F104" i="8"/>
  <c r="D104" i="8"/>
  <c r="B104" i="8"/>
  <c r="F103" i="8"/>
  <c r="D103" i="8"/>
  <c r="G103" i="8" s="1"/>
  <c r="B103" i="8"/>
  <c r="F102" i="8"/>
  <c r="D102" i="8"/>
  <c r="G102" i="8" s="1"/>
  <c r="B102" i="8"/>
  <c r="F101" i="8"/>
  <c r="D101" i="8"/>
  <c r="G101" i="8" s="1"/>
  <c r="B101" i="8"/>
  <c r="F100" i="8"/>
  <c r="D100" i="8"/>
  <c r="G100" i="8" s="1"/>
  <c r="B100" i="8"/>
  <c r="F99" i="8"/>
  <c r="D99" i="8"/>
  <c r="G99" i="8" s="1"/>
  <c r="B99" i="8"/>
  <c r="F98" i="8"/>
  <c r="D98" i="8"/>
  <c r="G98" i="8" s="1"/>
  <c r="B98" i="8"/>
  <c r="F97" i="8"/>
  <c r="D97" i="8"/>
  <c r="G97" i="8" s="1"/>
  <c r="B97" i="8"/>
  <c r="F96" i="8"/>
  <c r="D96" i="8"/>
  <c r="G96" i="8" s="1"/>
  <c r="C96" i="8"/>
  <c r="B96" i="8"/>
  <c r="D95" i="8"/>
  <c r="B95" i="8"/>
  <c r="E94" i="8"/>
  <c r="F94" i="8" s="1"/>
  <c r="D94" i="8"/>
  <c r="B94" i="8"/>
  <c r="E93" i="8"/>
  <c r="F93" i="8" s="1"/>
  <c r="D93" i="8"/>
  <c r="B93" i="8"/>
  <c r="E92" i="8"/>
  <c r="F92" i="8" s="1"/>
  <c r="D92" i="8"/>
  <c r="B92" i="8"/>
  <c r="E91" i="8"/>
  <c r="F91" i="8" s="1"/>
  <c r="D91" i="8"/>
  <c r="B91" i="8"/>
  <c r="D4" i="8" s="1"/>
  <c r="E4" i="8" s="1"/>
  <c r="F90" i="8"/>
  <c r="D90" i="8"/>
  <c r="G90" i="8" s="1"/>
  <c r="B90" i="8"/>
  <c r="F89" i="8"/>
  <c r="D89" i="8"/>
  <c r="G89" i="8" s="1"/>
  <c r="B89" i="8"/>
  <c r="F88" i="8"/>
  <c r="D88" i="8"/>
  <c r="G88" i="8" s="1"/>
  <c r="B88" i="8"/>
  <c r="F87" i="8"/>
  <c r="D87" i="8"/>
  <c r="G87" i="8" s="1"/>
  <c r="B87" i="8"/>
  <c r="F86" i="8"/>
  <c r="D86" i="8"/>
  <c r="G86" i="8" s="1"/>
  <c r="B86" i="8"/>
  <c r="F85" i="8"/>
  <c r="D85" i="8"/>
  <c r="G85" i="8" s="1"/>
  <c r="B85" i="8"/>
  <c r="F84" i="8"/>
  <c r="D84" i="8"/>
  <c r="G84" i="8" s="1"/>
  <c r="B84" i="8"/>
  <c r="F83" i="8"/>
  <c r="D83" i="8"/>
  <c r="G83" i="8" s="1"/>
  <c r="B83" i="8"/>
  <c r="F82" i="8"/>
  <c r="D82" i="8"/>
  <c r="G82" i="8" s="1"/>
  <c r="B82" i="8"/>
  <c r="F81" i="8"/>
  <c r="D81" i="8"/>
  <c r="G81" i="8" s="1"/>
  <c r="B81" i="8"/>
  <c r="F80" i="8"/>
  <c r="D80" i="8"/>
  <c r="G80" i="8" s="1"/>
  <c r="B80" i="8"/>
  <c r="F79" i="8"/>
  <c r="D79" i="8"/>
  <c r="G79" i="8" s="1"/>
  <c r="B79" i="8"/>
  <c r="F78" i="8"/>
  <c r="D78" i="8"/>
  <c r="G78" i="8" s="1"/>
  <c r="B78" i="8"/>
  <c r="F77" i="8"/>
  <c r="D77" i="8"/>
  <c r="G77" i="8" s="1"/>
  <c r="B77" i="8"/>
  <c r="F76" i="8"/>
  <c r="D76" i="8"/>
  <c r="G76" i="8" s="1"/>
  <c r="B76" i="8"/>
  <c r="F75" i="8"/>
  <c r="D75" i="8"/>
  <c r="G75" i="8" s="1"/>
  <c r="B75" i="8"/>
  <c r="F74" i="8"/>
  <c r="D74" i="8"/>
  <c r="G74" i="8" s="1"/>
  <c r="B74" i="8"/>
  <c r="F73" i="8"/>
  <c r="D73" i="8"/>
  <c r="G73" i="8" s="1"/>
  <c r="B73" i="8"/>
  <c r="E72" i="8"/>
  <c r="F72" i="8" s="1"/>
  <c r="H72" i="8" s="1"/>
  <c r="D72" i="8"/>
  <c r="B72" i="8"/>
  <c r="F71" i="8"/>
  <c r="D71" i="8"/>
  <c r="G71" i="8" s="1"/>
  <c r="B71" i="8"/>
  <c r="F70" i="8"/>
  <c r="D70" i="8"/>
  <c r="G70" i="8" s="1"/>
  <c r="B70" i="8"/>
  <c r="F69" i="8"/>
  <c r="D69" i="8"/>
  <c r="G69" i="8" s="1"/>
  <c r="B69" i="8"/>
  <c r="F68" i="8"/>
  <c r="D68" i="8"/>
  <c r="G68" i="8" s="1"/>
  <c r="B68" i="8"/>
  <c r="F67" i="8"/>
  <c r="D67" i="8"/>
  <c r="G67" i="8" s="1"/>
  <c r="B67" i="8"/>
  <c r="F66" i="8"/>
  <c r="D66" i="8"/>
  <c r="G66" i="8" s="1"/>
  <c r="B66" i="8"/>
  <c r="E65" i="8"/>
  <c r="F65" i="8" s="1"/>
  <c r="D65" i="8"/>
  <c r="B65" i="8"/>
  <c r="F64" i="8"/>
  <c r="D64" i="8"/>
  <c r="G64" i="8" s="1"/>
  <c r="B64" i="8"/>
  <c r="F63" i="8"/>
  <c r="D63" i="8"/>
  <c r="G63" i="8" s="1"/>
  <c r="B63" i="8"/>
  <c r="F62" i="8"/>
  <c r="D62" i="8"/>
  <c r="G62" i="8" s="1"/>
  <c r="B62" i="8"/>
  <c r="F61" i="8"/>
  <c r="D61" i="8"/>
  <c r="G61" i="8" s="1"/>
  <c r="B61" i="8"/>
  <c r="F60" i="8"/>
  <c r="D60" i="8"/>
  <c r="G60" i="8" s="1"/>
  <c r="B60" i="8"/>
  <c r="F59" i="8"/>
  <c r="D59" i="8"/>
  <c r="G59" i="8" s="1"/>
  <c r="B59" i="8"/>
  <c r="F58" i="8"/>
  <c r="D58" i="8"/>
  <c r="G58" i="8" s="1"/>
  <c r="B58" i="8"/>
  <c r="F57" i="8"/>
  <c r="D57" i="8"/>
  <c r="G57" i="8" s="1"/>
  <c r="B57" i="8"/>
  <c r="F56" i="8"/>
  <c r="D56" i="8"/>
  <c r="G56" i="8" s="1"/>
  <c r="B56" i="8"/>
  <c r="F55" i="8"/>
  <c r="D55" i="8"/>
  <c r="G55" i="8" s="1"/>
  <c r="B55" i="8"/>
  <c r="D54" i="8"/>
  <c r="B54" i="8"/>
  <c r="E53" i="8"/>
  <c r="F53" i="8" s="1"/>
  <c r="D53" i="8"/>
  <c r="B53" i="8"/>
  <c r="E52" i="8"/>
  <c r="F52" i="8" s="1"/>
  <c r="D52" i="8"/>
  <c r="B52" i="8"/>
  <c r="E51" i="8"/>
  <c r="F51" i="8" s="1"/>
  <c r="D51" i="8"/>
  <c r="B51" i="8"/>
  <c r="E50" i="8"/>
  <c r="F50" i="8" s="1"/>
  <c r="D50" i="8"/>
  <c r="B50" i="8"/>
  <c r="D3" i="8" s="1"/>
  <c r="F49" i="8"/>
  <c r="F48" i="8"/>
  <c r="F47" i="8"/>
  <c r="F46" i="8"/>
  <c r="F45" i="8"/>
  <c r="F44" i="8"/>
  <c r="F43" i="8"/>
  <c r="F42" i="8"/>
  <c r="F41" i="8"/>
  <c r="F40" i="8"/>
  <c r="F39" i="8"/>
  <c r="F38" i="8"/>
  <c r="F37" i="8"/>
  <c r="F36" i="8"/>
  <c r="F35" i="8"/>
  <c r="F34" i="8"/>
  <c r="F33" i="8"/>
  <c r="F32" i="8"/>
  <c r="F30" i="8"/>
  <c r="F29" i="8"/>
  <c r="F28" i="8"/>
  <c r="F27" i="8"/>
  <c r="F26" i="8"/>
  <c r="F25" i="8"/>
  <c r="F23" i="8"/>
  <c r="F22" i="8"/>
  <c r="F21" i="8"/>
  <c r="F20" i="8"/>
  <c r="F19" i="8"/>
  <c r="F18" i="8"/>
  <c r="F17" i="8"/>
  <c r="F16" i="8"/>
  <c r="F15" i="8"/>
  <c r="F14" i="8"/>
  <c r="E9" i="8"/>
  <c r="F9" i="8" s="1"/>
  <c r="E10" i="8"/>
  <c r="E11" i="8"/>
  <c r="E12" i="8"/>
  <c r="E24" i="8"/>
  <c r="E31" i="8"/>
  <c r="D49" i="8"/>
  <c r="G49" i="8" s="1"/>
  <c r="D48" i="8"/>
  <c r="G48" i="8" s="1"/>
  <c r="D47" i="8"/>
  <c r="G47" i="8" s="1"/>
  <c r="D46" i="8"/>
  <c r="G46" i="8" s="1"/>
  <c r="D45" i="8"/>
  <c r="G45" i="8" s="1"/>
  <c r="D44" i="8"/>
  <c r="G44" i="8" s="1"/>
  <c r="D43" i="8"/>
  <c r="G43" i="8" s="1"/>
  <c r="D42" i="8"/>
  <c r="G42" i="8" s="1"/>
  <c r="D41" i="8"/>
  <c r="G41" i="8" s="1"/>
  <c r="D40" i="8"/>
  <c r="G40" i="8" s="1"/>
  <c r="D39" i="8"/>
  <c r="G39" i="8" s="1"/>
  <c r="D38" i="8"/>
  <c r="G38" i="8" s="1"/>
  <c r="D37" i="8"/>
  <c r="G37" i="8" s="1"/>
  <c r="D36" i="8"/>
  <c r="G36" i="8" s="1"/>
  <c r="D35" i="8"/>
  <c r="G35" i="8" s="1"/>
  <c r="D34" i="8"/>
  <c r="G34" i="8" s="1"/>
  <c r="D33" i="8"/>
  <c r="G33" i="8" s="1"/>
  <c r="D32" i="8"/>
  <c r="G32" i="8" s="1"/>
  <c r="D31" i="8"/>
  <c r="D30" i="8"/>
  <c r="G30" i="8" s="1"/>
  <c r="D29" i="8"/>
  <c r="G29" i="8" s="1"/>
  <c r="D28" i="8"/>
  <c r="G28" i="8" s="1"/>
  <c r="D27" i="8"/>
  <c r="G27" i="8" s="1"/>
  <c r="D26" i="8"/>
  <c r="G26" i="8" s="1"/>
  <c r="D25" i="8"/>
  <c r="G25" i="8" s="1"/>
  <c r="D24" i="8"/>
  <c r="D23" i="8"/>
  <c r="G23" i="8" s="1"/>
  <c r="D22" i="8"/>
  <c r="G22" i="8" s="1"/>
  <c r="D21" i="8"/>
  <c r="G21" i="8" s="1"/>
  <c r="D20" i="8"/>
  <c r="G20" i="8" s="1"/>
  <c r="D19" i="8"/>
  <c r="G19" i="8" s="1"/>
  <c r="D18" i="8"/>
  <c r="G18" i="8" s="1"/>
  <c r="D17" i="8"/>
  <c r="G17" i="8" s="1"/>
  <c r="D16" i="8"/>
  <c r="G16" i="8" s="1"/>
  <c r="D15" i="8"/>
  <c r="G15" i="8" s="1"/>
  <c r="D14" i="8"/>
  <c r="G14" i="8" s="1"/>
  <c r="D13" i="8"/>
  <c r="D12" i="8"/>
  <c r="D11" i="8"/>
  <c r="D10" i="8"/>
  <c r="D9" i="8"/>
  <c r="C212" i="8"/>
  <c r="C135" i="8"/>
  <c r="C120" i="8"/>
  <c r="E54" i="8"/>
  <c r="F54" i="8" s="1"/>
  <c r="C89" i="8"/>
  <c r="E3" i="8" l="1"/>
  <c r="D5" i="25"/>
  <c r="H120" i="8"/>
  <c r="H96" i="8"/>
  <c r="H128" i="8"/>
  <c r="C106" i="8"/>
  <c r="G144" i="8"/>
  <c r="H144" i="8" s="1"/>
  <c r="G212" i="8"/>
  <c r="H212" i="8" s="1"/>
  <c r="C110" i="8"/>
  <c r="C100" i="8"/>
  <c r="C104" i="8"/>
  <c r="G104" i="8"/>
  <c r="H104" i="8" s="1"/>
  <c r="C98" i="8"/>
  <c r="H115" i="8"/>
  <c r="G202" i="8"/>
  <c r="H202" i="8" s="1"/>
  <c r="C112" i="8"/>
  <c r="E136" i="8"/>
  <c r="F136" i="8" s="1"/>
  <c r="H136" i="8" s="1"/>
  <c r="C102" i="8"/>
  <c r="G112" i="8"/>
  <c r="H112" i="8" s="1"/>
  <c r="G211" i="8"/>
  <c r="H211" i="8" s="1"/>
  <c r="H199" i="8"/>
  <c r="H207" i="8"/>
  <c r="H140" i="8"/>
  <c r="H137" i="8"/>
  <c r="H153" i="8"/>
  <c r="H158" i="8"/>
  <c r="H203" i="8"/>
  <c r="H169" i="8"/>
  <c r="H191" i="8"/>
  <c r="H179" i="8"/>
  <c r="H187" i="8"/>
  <c r="H71" i="8"/>
  <c r="H99" i="8"/>
  <c r="H123" i="8"/>
  <c r="E5" i="8"/>
  <c r="E6" i="8"/>
  <c r="C50" i="8"/>
  <c r="C52" i="8"/>
  <c r="C54" i="8"/>
  <c r="C56" i="8"/>
  <c r="C58" i="8"/>
  <c r="C60" i="8"/>
  <c r="C62" i="8"/>
  <c r="C64" i="8"/>
  <c r="C66" i="8"/>
  <c r="C68" i="8"/>
  <c r="C70" i="8"/>
  <c r="C72" i="8"/>
  <c r="C74" i="8"/>
  <c r="C76" i="8"/>
  <c r="C78" i="8"/>
  <c r="C80" i="8"/>
  <c r="C82" i="8"/>
  <c r="C84" i="8"/>
  <c r="C86" i="8"/>
  <c r="C88" i="8"/>
  <c r="C90" i="8"/>
  <c r="H118" i="8"/>
  <c r="C122" i="8"/>
  <c r="C124" i="8"/>
  <c r="C126" i="8"/>
  <c r="C128" i="8"/>
  <c r="C130" i="8"/>
  <c r="C179" i="8"/>
  <c r="H80" i="8"/>
  <c r="H88" i="8"/>
  <c r="C138" i="8"/>
  <c r="C140" i="8"/>
  <c r="C142" i="8"/>
  <c r="C144" i="8"/>
  <c r="C146" i="8"/>
  <c r="C148" i="8"/>
  <c r="C150" i="8"/>
  <c r="C152" i="8"/>
  <c r="C154" i="8"/>
  <c r="C156" i="8"/>
  <c r="C158" i="8"/>
  <c r="C160" i="8"/>
  <c r="C162" i="8"/>
  <c r="C164" i="8"/>
  <c r="C166" i="8"/>
  <c r="C168" i="8"/>
  <c r="C170" i="8"/>
  <c r="C172" i="8"/>
  <c r="C173" i="8"/>
  <c r="C175" i="8"/>
  <c r="C177" i="8"/>
  <c r="C181" i="8"/>
  <c r="C183" i="8"/>
  <c r="C185" i="8"/>
  <c r="C187" i="8"/>
  <c r="C189" i="8"/>
  <c r="C191" i="8"/>
  <c r="C193" i="8"/>
  <c r="C195" i="8"/>
  <c r="C197" i="8"/>
  <c r="C199" i="8"/>
  <c r="C201" i="8"/>
  <c r="C203" i="8"/>
  <c r="C205" i="8"/>
  <c r="C207" i="8"/>
  <c r="C209" i="8"/>
  <c r="C211" i="8"/>
  <c r="C213" i="8"/>
  <c r="C97" i="8"/>
  <c r="C99" i="8"/>
  <c r="C101" i="8"/>
  <c r="C103" i="8"/>
  <c r="C105" i="8"/>
  <c r="C107" i="8"/>
  <c r="C109" i="8"/>
  <c r="C111" i="8"/>
  <c r="C132" i="8"/>
  <c r="C134" i="8"/>
  <c r="C136" i="8"/>
  <c r="H138" i="8"/>
  <c r="H162" i="8"/>
  <c r="H170" i="8"/>
  <c r="H185" i="8"/>
  <c r="C91" i="8"/>
  <c r="C93" i="8"/>
  <c r="C95" i="8"/>
  <c r="C113" i="8"/>
  <c r="C115" i="8"/>
  <c r="C117" i="8"/>
  <c r="C119" i="8"/>
  <c r="H146" i="8"/>
  <c r="H201" i="8"/>
  <c r="C51" i="8"/>
  <c r="C53" i="8"/>
  <c r="C55" i="8"/>
  <c r="C57" i="8"/>
  <c r="C59" i="8"/>
  <c r="C61" i="8"/>
  <c r="C63" i="8"/>
  <c r="C65" i="8"/>
  <c r="C67" i="8"/>
  <c r="C69" i="8"/>
  <c r="C71" i="8"/>
  <c r="C73" i="8"/>
  <c r="C75" i="8"/>
  <c r="C77" i="8"/>
  <c r="C79" i="8"/>
  <c r="C81" i="8"/>
  <c r="C83" i="8"/>
  <c r="C85" i="8"/>
  <c r="C87" i="8"/>
  <c r="C121" i="8"/>
  <c r="C123" i="8"/>
  <c r="C125" i="8"/>
  <c r="C127" i="8"/>
  <c r="C129" i="8"/>
  <c r="C131" i="8"/>
  <c r="C178" i="8"/>
  <c r="H57" i="8"/>
  <c r="H121" i="8"/>
  <c r="H129" i="8"/>
  <c r="H131" i="8"/>
  <c r="C137" i="8"/>
  <c r="C139" i="8"/>
  <c r="C141" i="8"/>
  <c r="C143" i="8"/>
  <c r="C145" i="8"/>
  <c r="C147" i="8"/>
  <c r="C149" i="8"/>
  <c r="C151" i="8"/>
  <c r="C153" i="8"/>
  <c r="C155" i="8"/>
  <c r="C157" i="8"/>
  <c r="C159" i="8"/>
  <c r="C161" i="8"/>
  <c r="C163" i="8"/>
  <c r="C165" i="8"/>
  <c r="C167" i="8"/>
  <c r="C169" i="8"/>
  <c r="C171" i="8"/>
  <c r="C174" i="8"/>
  <c r="C176" i="8"/>
  <c r="C180" i="8"/>
  <c r="C182" i="8"/>
  <c r="C184" i="8"/>
  <c r="C186" i="8"/>
  <c r="C188" i="8"/>
  <c r="C190" i="8"/>
  <c r="C192" i="8"/>
  <c r="C194" i="8"/>
  <c r="C196" i="8"/>
  <c r="C198" i="8"/>
  <c r="C200" i="8"/>
  <c r="C202" i="8"/>
  <c r="C204" i="8"/>
  <c r="C206" i="8"/>
  <c r="C208" i="8"/>
  <c r="C210" i="8"/>
  <c r="C133" i="8"/>
  <c r="H151" i="8"/>
  <c r="H159" i="8"/>
  <c r="H167" i="8"/>
  <c r="H194" i="8"/>
  <c r="C92" i="8"/>
  <c r="C94" i="8"/>
  <c r="H102" i="8"/>
  <c r="H110" i="8"/>
  <c r="C114" i="8"/>
  <c r="C116" i="8"/>
  <c r="C118" i="8"/>
  <c r="E177" i="8"/>
  <c r="F177" i="8" s="1"/>
  <c r="E95" i="8"/>
  <c r="F95" i="8" s="1"/>
  <c r="H134" i="8"/>
  <c r="H54" i="8"/>
  <c r="H178" i="8"/>
  <c r="H182" i="8"/>
  <c r="H186" i="8"/>
  <c r="H198" i="8"/>
  <c r="H126" i="8"/>
  <c r="H125" i="8"/>
  <c r="H127" i="8"/>
  <c r="H142" i="8"/>
  <c r="H150" i="8"/>
  <c r="H166" i="8"/>
  <c r="H192" i="8"/>
  <c r="H200" i="8"/>
  <c r="H208" i="8"/>
  <c r="H147" i="8"/>
  <c r="H65" i="8"/>
  <c r="H94" i="8"/>
  <c r="H135" i="8"/>
  <c r="H176" i="8"/>
  <c r="H52" i="8"/>
  <c r="H53" i="8"/>
  <c r="H93" i="8"/>
  <c r="H101" i="8"/>
  <c r="H109" i="8"/>
  <c r="H117" i="8"/>
  <c r="H133" i="8"/>
  <c r="H141" i="8"/>
  <c r="H171" i="8"/>
  <c r="H163" i="8"/>
  <c r="H180" i="8"/>
  <c r="H184" i="8"/>
  <c r="H181" i="8"/>
  <c r="H188" i="8"/>
  <c r="H196" i="8"/>
  <c r="H204" i="8"/>
  <c r="H189" i="8"/>
  <c r="H213" i="8"/>
  <c r="H175" i="8"/>
  <c r="H183" i="8"/>
  <c r="H193" i="8"/>
  <c r="H145" i="8"/>
  <c r="H149" i="8"/>
  <c r="H132" i="8"/>
  <c r="H157" i="8"/>
  <c r="H161" i="8"/>
  <c r="H165" i="8"/>
  <c r="H92" i="8"/>
  <c r="H100" i="8"/>
  <c r="H106" i="8"/>
  <c r="H114" i="8"/>
  <c r="H116" i="8"/>
  <c r="H98" i="8"/>
  <c r="H122" i="8"/>
  <c r="H124" i="8"/>
  <c r="H97" i="8"/>
  <c r="H130" i="8"/>
  <c r="H103" i="8"/>
  <c r="H105" i="8"/>
  <c r="H59" i="8"/>
  <c r="H67" i="8"/>
  <c r="H83" i="8"/>
  <c r="H74" i="8"/>
  <c r="H82" i="8"/>
  <c r="H90" i="8"/>
  <c r="H205" i="8"/>
  <c r="H209" i="8"/>
  <c r="H197" i="8"/>
  <c r="H210" i="8"/>
  <c r="H190" i="8"/>
  <c r="H206" i="8"/>
  <c r="H155" i="8"/>
  <c r="H160" i="8"/>
  <c r="H164" i="8"/>
  <c r="H152" i="8"/>
  <c r="H168" i="8"/>
  <c r="H143" i="8"/>
  <c r="H148" i="8"/>
  <c r="H139" i="8"/>
  <c r="H156" i="8"/>
  <c r="H172" i="8"/>
  <c r="H108" i="8"/>
  <c r="H119" i="8"/>
  <c r="H91" i="8"/>
  <c r="H107" i="8"/>
  <c r="H111" i="8"/>
  <c r="H55" i="8"/>
  <c r="H50" i="8"/>
  <c r="H62" i="8"/>
  <c r="H63" i="8"/>
  <c r="H79" i="8"/>
  <c r="H87" i="8"/>
  <c r="H56" i="8"/>
  <c r="H58" i="8"/>
  <c r="H76" i="8"/>
  <c r="H78" i="8"/>
  <c r="H69" i="8"/>
  <c r="H64" i="8"/>
  <c r="H84" i="8"/>
  <c r="H86" i="8"/>
  <c r="H61" i="8"/>
  <c r="H66" i="8"/>
  <c r="H73" i="8"/>
  <c r="H75" i="8"/>
  <c r="H70" i="8"/>
  <c r="H85" i="8"/>
  <c r="H89" i="8"/>
  <c r="H68" i="8"/>
  <c r="H77" i="8"/>
  <c r="H81" i="8"/>
  <c r="H60" i="8"/>
  <c r="F12" i="8"/>
  <c r="B10" i="8"/>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9" i="8"/>
  <c r="D2" i="8" s="1"/>
  <c r="E2" i="8" s="1"/>
  <c r="F31" i="8"/>
  <c r="F24" i="8"/>
  <c r="F11" i="8"/>
  <c r="F10" i="8"/>
  <c r="C11" i="8"/>
  <c r="K22" i="25" l="1"/>
  <c r="K23" i="25" s="1"/>
  <c r="H177" i="8"/>
  <c r="H95" i="8"/>
  <c r="C30" i="8"/>
  <c r="C41" i="8"/>
  <c r="C34" i="8"/>
  <c r="C14" i="8"/>
  <c r="C46" i="8"/>
  <c r="C25" i="8"/>
  <c r="C29" i="8"/>
  <c r="C45" i="8"/>
  <c r="C18" i="8"/>
  <c r="C9" i="8"/>
  <c r="C49" i="8"/>
  <c r="C38" i="8"/>
  <c r="C33" i="8"/>
  <c r="C22" i="8"/>
  <c r="C17" i="8"/>
  <c r="C42" i="8"/>
  <c r="C37" i="8"/>
  <c r="C26" i="8"/>
  <c r="C21" i="8"/>
  <c r="C10" i="8"/>
  <c r="C13" i="8"/>
  <c r="C48" i="8"/>
  <c r="C44" i="8"/>
  <c r="C40" i="8"/>
  <c r="C36" i="8"/>
  <c r="C32" i="8"/>
  <c r="C28" i="8"/>
  <c r="C24" i="8"/>
  <c r="C20" i="8"/>
  <c r="C16" i="8"/>
  <c r="C12" i="8"/>
  <c r="C47" i="8"/>
  <c r="C43" i="8"/>
  <c r="C39" i="8"/>
  <c r="C35" i="8"/>
  <c r="C31" i="8"/>
  <c r="C27" i="8"/>
  <c r="C23" i="8"/>
  <c r="C19" i="8"/>
  <c r="C15" i="8"/>
  <c r="H33" i="8" l="1"/>
  <c r="H34" i="8"/>
  <c r="H35" i="8"/>
  <c r="H36" i="8"/>
  <c r="H32" i="8"/>
  <c r="G11" i="8"/>
  <c r="H11" i="8" s="1"/>
  <c r="O20" i="2"/>
  <c r="O19" i="2"/>
  <c r="O18" i="2"/>
  <c r="O17" i="2"/>
  <c r="O16" i="2"/>
  <c r="O15" i="2"/>
  <c r="O14" i="2"/>
  <c r="O13" i="2"/>
  <c r="O12" i="2"/>
  <c r="O11" i="2"/>
  <c r="O10" i="2"/>
  <c r="O9" i="2"/>
  <c r="O8" i="2"/>
  <c r="O6" i="2"/>
  <c r="O5" i="2"/>
  <c r="O4" i="2"/>
  <c r="O3" i="2"/>
  <c r="O7" i="2"/>
  <c r="N20" i="2"/>
  <c r="N19" i="2"/>
  <c r="N18" i="2"/>
  <c r="N17" i="2"/>
  <c r="N16" i="2"/>
  <c r="G31" i="8" s="1"/>
  <c r="H31" i="8" s="1"/>
  <c r="N15" i="2"/>
  <c r="N14" i="2"/>
  <c r="N13" i="2"/>
  <c r="N12" i="2"/>
  <c r="N11" i="2"/>
  <c r="N10" i="2"/>
  <c r="N9" i="2"/>
  <c r="N8" i="2"/>
  <c r="N6" i="2"/>
  <c r="N5" i="2"/>
  <c r="N4" i="2"/>
  <c r="N3" i="2"/>
  <c r="N7" i="2"/>
  <c r="M20" i="2"/>
  <c r="M19" i="2"/>
  <c r="M18" i="2"/>
  <c r="M17" i="2"/>
  <c r="M16" i="2"/>
  <c r="M15" i="2"/>
  <c r="M14" i="2"/>
  <c r="M13" i="2"/>
  <c r="M12" i="2"/>
  <c r="M11" i="2"/>
  <c r="M10" i="2"/>
  <c r="M9" i="2"/>
  <c r="M8" i="2"/>
  <c r="M7" i="2"/>
  <c r="M6" i="2"/>
  <c r="M5" i="2"/>
  <c r="M4" i="2"/>
  <c r="M3" i="2"/>
  <c r="L20" i="2"/>
  <c r="L19" i="2"/>
  <c r="L18" i="2"/>
  <c r="L17" i="2"/>
  <c r="L16" i="2"/>
  <c r="L15" i="2"/>
  <c r="L14" i="2"/>
  <c r="L13" i="2"/>
  <c r="L12" i="2"/>
  <c r="L11" i="2"/>
  <c r="L10" i="2"/>
  <c r="L9" i="2"/>
  <c r="L6" i="2"/>
  <c r="L7" i="2"/>
  <c r="L4" i="2"/>
  <c r="L5" i="2"/>
  <c r="L3" i="2"/>
  <c r="K20" i="2"/>
  <c r="K19" i="2"/>
  <c r="K18" i="2"/>
  <c r="K17" i="2"/>
  <c r="K16" i="2"/>
  <c r="K14" i="2"/>
  <c r="K13" i="2"/>
  <c r="K15" i="2"/>
  <c r="K12" i="2"/>
  <c r="K11" i="2"/>
  <c r="K10" i="2"/>
  <c r="K9" i="2"/>
  <c r="K8" i="2"/>
  <c r="K4" i="2"/>
  <c r="K3" i="2"/>
  <c r="J20" i="2"/>
  <c r="J19" i="2"/>
  <c r="J18" i="2"/>
  <c r="J17" i="2"/>
  <c r="J16" i="2"/>
  <c r="J15" i="2"/>
  <c r="J14" i="2"/>
  <c r="J13" i="2"/>
  <c r="J12" i="2"/>
  <c r="J10" i="2"/>
  <c r="J11" i="2"/>
  <c r="J6" i="2"/>
  <c r="J5" i="2"/>
  <c r="J4" i="2"/>
  <c r="J3" i="2"/>
  <c r="J7" i="2"/>
  <c r="I20" i="2"/>
  <c r="I19" i="2"/>
  <c r="I18" i="2"/>
  <c r="I17" i="2"/>
  <c r="I16" i="2"/>
  <c r="I14" i="2"/>
  <c r="I15" i="2"/>
  <c r="I13" i="2"/>
  <c r="I11" i="2"/>
  <c r="I10" i="2"/>
  <c r="I9" i="2"/>
  <c r="I8" i="2"/>
  <c r="I12" i="2"/>
  <c r="I5" i="2"/>
  <c r="I3" i="2"/>
  <c r="I7" i="2"/>
  <c r="I4" i="2"/>
  <c r="H7" i="2"/>
  <c r="H6" i="2"/>
  <c r="H20" i="2"/>
  <c r="H19" i="2"/>
  <c r="H18" i="2"/>
  <c r="H17" i="2"/>
  <c r="H16" i="2"/>
  <c r="H14" i="2"/>
  <c r="H13" i="2"/>
  <c r="H12" i="2"/>
  <c r="H11" i="2"/>
  <c r="H10" i="2"/>
  <c r="H9" i="2"/>
  <c r="H8" i="2"/>
  <c r="H5" i="2"/>
  <c r="H4" i="2"/>
  <c r="H3" i="2"/>
  <c r="G51" i="8" l="1"/>
  <c r="H51" i="8" s="1"/>
  <c r="G10" i="8"/>
  <c r="H10" i="8" s="1"/>
  <c r="E13" i="8"/>
  <c r="F13" i="8" s="1"/>
  <c r="G9" i="8"/>
  <c r="H9" i="8" s="1"/>
  <c r="H44" i="8"/>
  <c r="G24" i="8"/>
  <c r="H24" i="8" s="1"/>
  <c r="H39" i="8"/>
  <c r="H47" i="8"/>
  <c r="H38" i="8"/>
  <c r="H45" i="8"/>
  <c r="H49" i="8"/>
  <c r="H46" i="8"/>
  <c r="H43" i="8"/>
  <c r="G12" i="8"/>
  <c r="H12" i="8" s="1"/>
  <c r="H37" i="8"/>
  <c r="H42" i="8"/>
  <c r="H41" i="8"/>
  <c r="H48" i="8"/>
  <c r="H40" i="8"/>
  <c r="H25" i="8"/>
  <c r="H30" i="8"/>
  <c r="H29" i="8"/>
  <c r="H28" i="8"/>
  <c r="H27" i="8"/>
  <c r="H26" i="8"/>
  <c r="H23" i="8"/>
  <c r="H21" i="8"/>
  <c r="H20" i="8"/>
  <c r="H18" i="8"/>
  <c r="H19" i="8"/>
  <c r="H14" i="8"/>
  <c r="H17" i="8"/>
  <c r="H16" i="8"/>
  <c r="H22" i="8"/>
  <c r="H15" i="8"/>
  <c r="F6" i="8" l="1"/>
  <c r="F5" i="8"/>
  <c r="F4" i="8"/>
  <c r="F3" i="8"/>
  <c r="H13" i="8"/>
  <c r="F2"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orito</author>
  </authors>
  <commentList>
    <comment ref="J1" authorId="0" shapeId="0" xr:uid="{85D09E49-4F6B-4D56-80CB-AEEF5045A77C}">
      <text>
        <r>
          <rPr>
            <b/>
            <sz val="9"/>
            <color indexed="81"/>
            <rFont val="MS P ゴシック"/>
            <family val="3"/>
            <charset val="128"/>
          </rPr>
          <t>作成日記入</t>
        </r>
      </text>
    </comment>
    <comment ref="C3" authorId="0" shapeId="0" xr:uid="{7B43FC55-24EE-4D0A-867E-9FB50F845FC3}">
      <text>
        <r>
          <rPr>
            <b/>
            <sz val="9"/>
            <color indexed="81"/>
            <rFont val="MS P ゴシック"/>
            <family val="3"/>
            <charset val="128"/>
          </rPr>
          <t>団体名記入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orito</author>
  </authors>
  <commentList>
    <comment ref="J1" authorId="0" shapeId="0" xr:uid="{9EFCD342-7766-4F8A-88D1-59928C43D7BB}">
      <text>
        <r>
          <rPr>
            <b/>
            <sz val="9"/>
            <color indexed="81"/>
            <rFont val="MS P ゴシック"/>
            <family val="3"/>
            <charset val="128"/>
          </rPr>
          <t>作成日記入</t>
        </r>
      </text>
    </comment>
    <comment ref="C3" authorId="0" shapeId="0" xr:uid="{20306997-F6F0-4541-8D3A-C81C512EA7F8}">
      <text>
        <r>
          <rPr>
            <b/>
            <sz val="9"/>
            <color indexed="81"/>
            <rFont val="MS P ゴシック"/>
            <family val="3"/>
            <charset val="128"/>
          </rPr>
          <t>団体名記入</t>
        </r>
      </text>
    </comment>
  </commentList>
</comments>
</file>

<file path=xl/sharedStrings.xml><?xml version="1.0" encoding="utf-8"?>
<sst xmlns="http://schemas.openxmlformats.org/spreadsheetml/2006/main" count="763" uniqueCount="258">
  <si>
    <t>■</t>
    <phoneticPr fontId="3"/>
  </si>
  <si>
    <t>申請者情報</t>
    <rPh sb="0" eb="3">
      <t>シンセイシャ</t>
    </rPh>
    <rPh sb="3" eb="5">
      <t>ジョウホウ</t>
    </rPh>
    <phoneticPr fontId="3"/>
  </si>
  <si>
    <t>団体名</t>
    <rPh sb="0" eb="2">
      <t>ダンタイ</t>
    </rPh>
    <rPh sb="2" eb="3">
      <t>メイ</t>
    </rPh>
    <phoneticPr fontId="3"/>
  </si>
  <si>
    <t>郵便番号</t>
    <rPh sb="0" eb="4">
      <t>ユウビンバンゴウ</t>
    </rPh>
    <phoneticPr fontId="2"/>
  </si>
  <si>
    <t>住所</t>
    <rPh sb="0" eb="2">
      <t>ジュウショ</t>
    </rPh>
    <phoneticPr fontId="3"/>
  </si>
  <si>
    <t>代表者</t>
    <rPh sb="0" eb="3">
      <t>ダイヒョウシャ</t>
    </rPh>
    <phoneticPr fontId="3"/>
  </si>
  <si>
    <t>連絡責任者</t>
    <rPh sb="0" eb="2">
      <t>レンラク</t>
    </rPh>
    <rPh sb="2" eb="5">
      <t>セキニンシャ</t>
    </rPh>
    <phoneticPr fontId="3"/>
  </si>
  <si>
    <t>連絡先</t>
    <rPh sb="0" eb="3">
      <t>レンラクサキ</t>
    </rPh>
    <phoneticPr fontId="3"/>
  </si>
  <si>
    <t>行事名</t>
    <rPh sb="0" eb="2">
      <t>ギョウジ</t>
    </rPh>
    <rPh sb="2" eb="3">
      <t>メイ</t>
    </rPh>
    <phoneticPr fontId="3"/>
  </si>
  <si>
    <t>行事内容</t>
    <rPh sb="0" eb="4">
      <t>ギョウジナイヨウ</t>
    </rPh>
    <phoneticPr fontId="3"/>
  </si>
  <si>
    <t>※ 営業行為：</t>
    <rPh sb="2" eb="4">
      <t>エイギョウ</t>
    </rPh>
    <rPh sb="4" eb="6">
      <t>コウイ</t>
    </rPh>
    <phoneticPr fontId="3"/>
  </si>
  <si>
    <t>参加者より入場料やその他に類するものを徴収する場合</t>
    <phoneticPr fontId="3"/>
  </si>
  <si>
    <t>確認事項</t>
    <rPh sb="0" eb="2">
      <t>カクニン</t>
    </rPh>
    <rPh sb="2" eb="4">
      <t>ジコウ</t>
    </rPh>
    <phoneticPr fontId="3"/>
  </si>
  <si>
    <t>振込手数料</t>
    <rPh sb="0" eb="2">
      <t>フリコミ</t>
    </rPh>
    <rPh sb="2" eb="5">
      <t>テスウリョウ</t>
    </rPh>
    <phoneticPr fontId="3"/>
  </si>
  <si>
    <t>お客様負担となります。</t>
    <rPh sb="1" eb="3">
      <t>キャクサマ</t>
    </rPh>
    <rPh sb="3" eb="5">
      <t>フタン</t>
    </rPh>
    <phoneticPr fontId="3"/>
  </si>
  <si>
    <t>領収書</t>
    <rPh sb="0" eb="3">
      <t>リョウシュウショ</t>
    </rPh>
    <phoneticPr fontId="3"/>
  </si>
  <si>
    <t>振込時に発行される振込明細書が領収書の代わりとして使用できます。別途、領収書が必要な場合は、振込のご連絡時に必要の旨をお伝えください。入金日の日付にて領収書を発行し、利用当日お渡しいたします。その際、領収書の宛名は団体名となります。</t>
    <rPh sb="0" eb="2">
      <t>フリコミ</t>
    </rPh>
    <rPh sb="2" eb="3">
      <t>ジ</t>
    </rPh>
    <rPh sb="4" eb="6">
      <t>ハッコウ</t>
    </rPh>
    <rPh sb="25" eb="27">
      <t>シヨウ</t>
    </rPh>
    <rPh sb="98" eb="99">
      <t>サイ</t>
    </rPh>
    <phoneticPr fontId="3"/>
  </si>
  <si>
    <t>メールアドレス</t>
    <phoneticPr fontId="3"/>
  </si>
  <si>
    <t>キャリアメールは利用不可です。</t>
    <rPh sb="8" eb="10">
      <t>リヨウ</t>
    </rPh>
    <rPh sb="10" eb="12">
      <t>フカ</t>
    </rPh>
    <phoneticPr fontId="3"/>
  </si>
  <si>
    <t>当日発生の利用料金</t>
    <rPh sb="0" eb="2">
      <t>トウジツ</t>
    </rPh>
    <rPh sb="2" eb="4">
      <t>ハッセイ</t>
    </rPh>
    <rPh sb="5" eb="7">
      <t>リヨウ</t>
    </rPh>
    <rPh sb="7" eb="9">
      <t>リョウキン</t>
    </rPh>
    <phoneticPr fontId="3"/>
  </si>
  <si>
    <t>利用後、変更申請書にて現金で徴収いたします。</t>
    <phoneticPr fontId="3"/>
  </si>
  <si>
    <t>振込後の中止</t>
    <rPh sb="0" eb="2">
      <t>フリコミ</t>
    </rPh>
    <rPh sb="2" eb="3">
      <t>ゴ</t>
    </rPh>
    <rPh sb="4" eb="6">
      <t>チュウシ</t>
    </rPh>
    <phoneticPr fontId="3"/>
  </si>
  <si>
    <t>■ 多目的ホール、イベント広場</t>
    <rPh sb="2" eb="5">
      <t>タモクテキ</t>
    </rPh>
    <rPh sb="13" eb="15">
      <t>ヒロバ</t>
    </rPh>
    <phoneticPr fontId="3"/>
  </si>
  <si>
    <t>利用日の１ヶ月前までに使用中止される場合、使用料の半額を還付いたします。</t>
    <rPh sb="0" eb="2">
      <t>リヨウ</t>
    </rPh>
    <rPh sb="2" eb="3">
      <t>ビ</t>
    </rPh>
    <rPh sb="6" eb="7">
      <t>ゲツ</t>
    </rPh>
    <rPh sb="7" eb="8">
      <t>マエ</t>
    </rPh>
    <rPh sb="11" eb="13">
      <t>シヨウ</t>
    </rPh>
    <rPh sb="13" eb="15">
      <t>チュウシ</t>
    </rPh>
    <rPh sb="18" eb="20">
      <t>バアイ</t>
    </rPh>
    <rPh sb="21" eb="23">
      <t>シヨウ</t>
    </rPh>
    <rPh sb="23" eb="24">
      <t>リョウ</t>
    </rPh>
    <rPh sb="25" eb="27">
      <t>ハンガク</t>
    </rPh>
    <rPh sb="28" eb="30">
      <t>カンプ</t>
    </rPh>
    <phoneticPr fontId="3"/>
  </si>
  <si>
    <t>■ 第１会議室、第２会議室、パーティールーム</t>
    <rPh sb="2" eb="3">
      <t>ダイ</t>
    </rPh>
    <rPh sb="4" eb="7">
      <t>カイギシツ</t>
    </rPh>
    <rPh sb="8" eb="9">
      <t>ダイ</t>
    </rPh>
    <rPh sb="10" eb="13">
      <t>カイギシツ</t>
    </rPh>
    <phoneticPr fontId="3"/>
  </si>
  <si>
    <t>利用日の1週間前までに使用中止される場合、使用料の半額を還付いたします。</t>
    <rPh sb="0" eb="2">
      <t>リヨウ</t>
    </rPh>
    <rPh sb="2" eb="3">
      <t>ビ</t>
    </rPh>
    <rPh sb="5" eb="7">
      <t>シュウカン</t>
    </rPh>
    <rPh sb="7" eb="8">
      <t>マエ</t>
    </rPh>
    <rPh sb="11" eb="13">
      <t>シヨウ</t>
    </rPh>
    <rPh sb="13" eb="15">
      <t>チュウシ</t>
    </rPh>
    <rPh sb="18" eb="20">
      <t>バアイ</t>
    </rPh>
    <rPh sb="21" eb="23">
      <t>シヨウ</t>
    </rPh>
    <rPh sb="23" eb="24">
      <t>リョウ</t>
    </rPh>
    <rPh sb="25" eb="27">
      <t>ハンガク</t>
    </rPh>
    <rPh sb="28" eb="30">
      <t>カンプ</t>
    </rPh>
    <phoneticPr fontId="3"/>
  </si>
  <si>
    <t>● 中止の際は、「中止届」「還付申請書」の提出が必要となりますので、まずは電話にて中止の旨をご連絡ください。</t>
    <rPh sb="2" eb="4">
      <t>チュウシ</t>
    </rPh>
    <rPh sb="5" eb="6">
      <t>サイ</t>
    </rPh>
    <rPh sb="9" eb="11">
      <t>チュウシ</t>
    </rPh>
    <rPh sb="11" eb="12">
      <t>トドケ</t>
    </rPh>
    <rPh sb="14" eb="16">
      <t>カンプ</t>
    </rPh>
    <rPh sb="16" eb="19">
      <t>シンセイショ</t>
    </rPh>
    <rPh sb="21" eb="23">
      <t>テイシュツ</t>
    </rPh>
    <rPh sb="24" eb="26">
      <t>ヒツヨウ</t>
    </rPh>
    <rPh sb="37" eb="39">
      <t>デンワ</t>
    </rPh>
    <rPh sb="41" eb="43">
      <t>チュウシ</t>
    </rPh>
    <rPh sb="44" eb="45">
      <t>ムネ</t>
    </rPh>
    <rPh sb="47" eb="49">
      <t>レンラク</t>
    </rPh>
    <phoneticPr fontId="3"/>
  </si>
  <si>
    <t>● 還付金振込時の、振込手数料は差引かせていただきます。</t>
    <rPh sb="2" eb="5">
      <t>カンプキン</t>
    </rPh>
    <rPh sb="5" eb="8">
      <t>フリコミジ</t>
    </rPh>
    <rPh sb="10" eb="12">
      <t>フリコミ</t>
    </rPh>
    <rPh sb="12" eb="15">
      <t>テスウリョウ</t>
    </rPh>
    <rPh sb="16" eb="18">
      <t>サシヒ</t>
    </rPh>
    <phoneticPr fontId="3"/>
  </si>
  <si>
    <t>振込期限を
過ぎた場合</t>
    <rPh sb="0" eb="2">
      <t>フリコミ</t>
    </rPh>
    <rPh sb="2" eb="4">
      <t>キゲン</t>
    </rPh>
    <rPh sb="6" eb="7">
      <t>ス</t>
    </rPh>
    <rPh sb="9" eb="11">
      <t>バアイ</t>
    </rPh>
    <phoneticPr fontId="3"/>
  </si>
  <si>
    <t>振込期限を過ぎますと、他お客様の申込みを受付けますのでご了承ください。</t>
    <rPh sb="0" eb="2">
      <t>フリコミ</t>
    </rPh>
    <rPh sb="2" eb="4">
      <t>キゲン</t>
    </rPh>
    <rPh sb="5" eb="6">
      <t>ス</t>
    </rPh>
    <rPh sb="11" eb="12">
      <t>ホカ</t>
    </rPh>
    <rPh sb="13" eb="15">
      <t>キャクサマ</t>
    </rPh>
    <rPh sb="16" eb="18">
      <t>モウシコミ</t>
    </rPh>
    <rPh sb="20" eb="22">
      <t>ウケツ</t>
    </rPh>
    <rPh sb="28" eb="30">
      <t>リョウショウ</t>
    </rPh>
    <phoneticPr fontId="3"/>
  </si>
  <si>
    <t>振込前の中止</t>
    <rPh sb="0" eb="2">
      <t>フリコミ</t>
    </rPh>
    <rPh sb="2" eb="3">
      <t>マエ</t>
    </rPh>
    <rPh sb="4" eb="6">
      <t>チュウシ</t>
    </rPh>
    <phoneticPr fontId="3"/>
  </si>
  <si>
    <t>振込前の中止についても、必ず電話にてご連絡ください。</t>
    <rPh sb="0" eb="2">
      <t>フリコミ</t>
    </rPh>
    <rPh sb="2" eb="3">
      <t>マエ</t>
    </rPh>
    <rPh sb="4" eb="6">
      <t>チュウシ</t>
    </rPh>
    <rPh sb="12" eb="13">
      <t>カナラ</t>
    </rPh>
    <rPh sb="14" eb="16">
      <t>デンワ</t>
    </rPh>
    <rPh sb="19" eb="21">
      <t>レンラク</t>
    </rPh>
    <phoneticPr fontId="3"/>
  </si>
  <si>
    <t>営業行為：</t>
    <rPh sb="0" eb="2">
      <t>エイギョウ</t>
    </rPh>
    <rPh sb="2" eb="4">
      <t>コウイ</t>
    </rPh>
    <phoneticPr fontId="3"/>
  </si>
  <si>
    <t>使用時間区分の料金が２倍となります。</t>
    <rPh sb="0" eb="2">
      <t>シヨウ</t>
    </rPh>
    <rPh sb="2" eb="4">
      <t>ジカン</t>
    </rPh>
    <rPh sb="4" eb="6">
      <t>クブン</t>
    </rPh>
    <rPh sb="7" eb="9">
      <t>リョウキン</t>
    </rPh>
    <rPh sb="11" eb="12">
      <t>バイ</t>
    </rPh>
    <phoneticPr fontId="3"/>
  </si>
  <si>
    <t>イベント広場</t>
    <rPh sb="4" eb="6">
      <t>ヒロバ</t>
    </rPh>
    <phoneticPr fontId="2"/>
  </si>
  <si>
    <t>第２会議室</t>
    <rPh sb="0" eb="1">
      <t>ダイ</t>
    </rPh>
    <rPh sb="2" eb="5">
      <t>カイギシツ</t>
    </rPh>
    <phoneticPr fontId="2"/>
  </si>
  <si>
    <t>パーティールームB</t>
    <phoneticPr fontId="2"/>
  </si>
  <si>
    <t>冷暖房</t>
    <rPh sb="0" eb="3">
      <t>レイダンボウ</t>
    </rPh>
    <phoneticPr fontId="2"/>
  </si>
  <si>
    <t>品名</t>
    <rPh sb="0" eb="2">
      <t>ヒンメイ</t>
    </rPh>
    <phoneticPr fontId="3"/>
  </si>
  <si>
    <t>単位</t>
    <rPh sb="0" eb="2">
      <t>タンイ</t>
    </rPh>
    <phoneticPr fontId="3"/>
  </si>
  <si>
    <t>個数</t>
    <rPh sb="0" eb="2">
      <t>コスウ</t>
    </rPh>
    <phoneticPr fontId="3"/>
  </si>
  <si>
    <t>AM 9</t>
  </si>
  <si>
    <t>DVD(CD)プレーヤー</t>
    <phoneticPr fontId="2"/>
  </si>
  <si>
    <t>CDプレーヤー</t>
    <phoneticPr fontId="2"/>
  </si>
  <si>
    <t>カセットデッキ</t>
    <phoneticPr fontId="2"/>
  </si>
  <si>
    <t>ワイヤレスマイク（ハンド ・ ピン）</t>
    <phoneticPr fontId="2"/>
  </si>
  <si>
    <t>ワイヤレスマイク（ハンド・ピン）</t>
    <phoneticPr fontId="2"/>
  </si>
  <si>
    <t>ワイヤレスマイク送受信機</t>
    <rPh sb="8" eb="12">
      <t>ソウジュシンキ</t>
    </rPh>
    <phoneticPr fontId="2"/>
  </si>
  <si>
    <t>パーティールームA</t>
    <phoneticPr fontId="2"/>
  </si>
  <si>
    <t>ポータブルアンプ</t>
    <phoneticPr fontId="2"/>
  </si>
  <si>
    <t>別途：ワイヤレスマイク</t>
    <rPh sb="0" eb="2">
      <t>ベット</t>
    </rPh>
    <phoneticPr fontId="2"/>
  </si>
  <si>
    <t>持込器具（コンセント利用料）</t>
    <rPh sb="0" eb="2">
      <t>モチコミ</t>
    </rPh>
    <rPh sb="2" eb="4">
      <t>キグ</t>
    </rPh>
    <rPh sb="10" eb="13">
      <t>リヨウリョウ</t>
    </rPh>
    <phoneticPr fontId="1"/>
  </si>
  <si>
    <t>１ｋW</t>
  </si>
  <si>
    <t>09:00～21:30</t>
  </si>
  <si>
    <t>小計</t>
    <rPh sb="0" eb="2">
      <t>ショウケイ</t>
    </rPh>
    <phoneticPr fontId="2"/>
  </si>
  <si>
    <t>No</t>
    <phoneticPr fontId="2"/>
  </si>
  <si>
    <t>日</t>
    <rPh sb="0" eb="1">
      <t>ヒ</t>
    </rPh>
    <phoneticPr fontId="2"/>
  </si>
  <si>
    <t>曜日</t>
    <rPh sb="0" eb="2">
      <t>ヨウビ</t>
    </rPh>
    <phoneticPr fontId="2"/>
  </si>
  <si>
    <t>項目</t>
    <rPh sb="0" eb="2">
      <t>コウモク</t>
    </rPh>
    <phoneticPr fontId="2"/>
  </si>
  <si>
    <t>時間帯</t>
    <rPh sb="0" eb="3">
      <t>ジカンタイ</t>
    </rPh>
    <phoneticPr fontId="2"/>
  </si>
  <si>
    <t>数量</t>
    <rPh sb="0" eb="2">
      <t>スウリョウ</t>
    </rPh>
    <phoneticPr fontId="2"/>
  </si>
  <si>
    <t>単価</t>
    <rPh sb="0" eb="2">
      <t>タンカ</t>
    </rPh>
    <phoneticPr fontId="2"/>
  </si>
  <si>
    <t>金額</t>
    <rPh sb="0" eb="2">
      <t>キンガク</t>
    </rPh>
    <phoneticPr fontId="2"/>
  </si>
  <si>
    <t>１日</t>
    <rPh sb="1" eb="2">
      <t>ニチ</t>
    </rPh>
    <phoneticPr fontId="2"/>
  </si>
  <si>
    <t>１日</t>
    <phoneticPr fontId="2"/>
  </si>
  <si>
    <t>多目的平日</t>
    <rPh sb="0" eb="3">
      <t>タモクテキ</t>
    </rPh>
    <rPh sb="3" eb="5">
      <t>ヘイジツ</t>
    </rPh>
    <phoneticPr fontId="2"/>
  </si>
  <si>
    <t>多目的土日祝日</t>
    <rPh sb="0" eb="3">
      <t>タモクテキ</t>
    </rPh>
    <rPh sb="3" eb="5">
      <t>ドニチ</t>
    </rPh>
    <rPh sb="5" eb="7">
      <t>シュクジツ</t>
    </rPh>
    <phoneticPr fontId="2"/>
  </si>
  <si>
    <t>第１会議室（全面）</t>
    <rPh sb="0" eb="1">
      <t>ダイ</t>
    </rPh>
    <rPh sb="2" eb="5">
      <t>カイギシツ</t>
    </rPh>
    <rPh sb="6" eb="8">
      <t>ゼンメン</t>
    </rPh>
    <phoneticPr fontId="2"/>
  </si>
  <si>
    <t>第１会議室（A）</t>
    <rPh sb="0" eb="1">
      <t>ダイ</t>
    </rPh>
    <rPh sb="2" eb="5">
      <t>カイギシツ</t>
    </rPh>
    <phoneticPr fontId="2"/>
  </si>
  <si>
    <t>第１会議室（B）</t>
    <rPh sb="0" eb="1">
      <t>ダイ</t>
    </rPh>
    <rPh sb="2" eb="5">
      <t>カイギシツ</t>
    </rPh>
    <phoneticPr fontId="2"/>
  </si>
  <si>
    <t>付属設備</t>
    <rPh sb="0" eb="4">
      <t>フゾクセツビ</t>
    </rPh>
    <phoneticPr fontId="2"/>
  </si>
  <si>
    <t>全面</t>
    <rPh sb="0" eb="2">
      <t>ゼンメン</t>
    </rPh>
    <phoneticPr fontId="2"/>
  </si>
  <si>
    <t>利用無し</t>
    <rPh sb="0" eb="3">
      <t>リヨウナ</t>
    </rPh>
    <phoneticPr fontId="2"/>
  </si>
  <si>
    <t>【多目的ホール】</t>
    <rPh sb="1" eb="4">
      <t>タモクテキ</t>
    </rPh>
    <phoneticPr fontId="2"/>
  </si>
  <si>
    <t>A</t>
    <phoneticPr fontId="2"/>
  </si>
  <si>
    <t>なし</t>
    <phoneticPr fontId="2"/>
  </si>
  <si>
    <t>〇</t>
    <phoneticPr fontId="2"/>
  </si>
  <si>
    <t>AM 1</t>
    <phoneticPr fontId="2"/>
  </si>
  <si>
    <t>08:00～12:00</t>
    <phoneticPr fontId="2"/>
  </si>
  <si>
    <t>ポータブルステージ</t>
    <phoneticPr fontId="2"/>
  </si>
  <si>
    <t>B</t>
    <phoneticPr fontId="2"/>
  </si>
  <si>
    <t>あり</t>
    <phoneticPr fontId="2"/>
  </si>
  <si>
    <t>AM 2</t>
  </si>
  <si>
    <t>08:00～13:00</t>
    <phoneticPr fontId="2"/>
  </si>
  <si>
    <t>演台（司会台、花台付）</t>
    <rPh sb="0" eb="2">
      <t>エンダイ</t>
    </rPh>
    <rPh sb="3" eb="5">
      <t>シカイ</t>
    </rPh>
    <rPh sb="5" eb="6">
      <t>ダイ</t>
    </rPh>
    <rPh sb="7" eb="9">
      <t>カダイ</t>
    </rPh>
    <rPh sb="9" eb="10">
      <t>ツキ</t>
    </rPh>
    <phoneticPr fontId="2"/>
  </si>
  <si>
    <t>AM 3</t>
  </si>
  <si>
    <t>08:00～17:00</t>
    <phoneticPr fontId="2"/>
  </si>
  <si>
    <t>ホール用スクリーン</t>
    <rPh sb="3" eb="4">
      <t>ヨウ</t>
    </rPh>
    <phoneticPr fontId="2"/>
  </si>
  <si>
    <t>AM 4</t>
  </si>
  <si>
    <t>08:00～18:00</t>
    <phoneticPr fontId="2"/>
  </si>
  <si>
    <t>有線マイク</t>
    <rPh sb="0" eb="2">
      <t>ユウセン</t>
    </rPh>
    <phoneticPr fontId="2"/>
  </si>
  <si>
    <t>AM 5</t>
  </si>
  <si>
    <t>08:00～21:30</t>
    <phoneticPr fontId="2"/>
  </si>
  <si>
    <t>AM 6</t>
  </si>
  <si>
    <t>09:00～12:00</t>
  </si>
  <si>
    <t>AM 7</t>
  </si>
  <si>
    <t>09:00～13:00</t>
  </si>
  <si>
    <t>AM 8</t>
  </si>
  <si>
    <t>09:00～17:00</t>
  </si>
  <si>
    <t>サスペンションライト</t>
    <phoneticPr fontId="2"/>
  </si>
  <si>
    <t>09:00～18:00</t>
  </si>
  <si>
    <t>美術バトン</t>
    <rPh sb="0" eb="2">
      <t>ビジュツ</t>
    </rPh>
    <phoneticPr fontId="2"/>
  </si>
  <si>
    <t>AM 10</t>
  </si>
  <si>
    <t>拡声装置</t>
    <rPh sb="0" eb="2">
      <t>カクセイ</t>
    </rPh>
    <rPh sb="2" eb="4">
      <t>ソウチ</t>
    </rPh>
    <phoneticPr fontId="2"/>
  </si>
  <si>
    <t>AM 11</t>
  </si>
  <si>
    <t>12:00～17:00</t>
    <phoneticPr fontId="2"/>
  </si>
  <si>
    <t>AM 12</t>
  </si>
  <si>
    <t>12:00～18:00</t>
    <phoneticPr fontId="2"/>
  </si>
  <si>
    <t>PM 1</t>
    <phoneticPr fontId="2"/>
  </si>
  <si>
    <t>12:00～21:30</t>
    <phoneticPr fontId="2"/>
  </si>
  <si>
    <t>PM 2</t>
  </si>
  <si>
    <t>13:00～17:00</t>
    <phoneticPr fontId="2"/>
  </si>
  <si>
    <t>PM 3</t>
  </si>
  <si>
    <t>13:00～18:00</t>
    <phoneticPr fontId="2"/>
  </si>
  <si>
    <t>PM 4</t>
  </si>
  <si>
    <t>13:00～21:30</t>
    <phoneticPr fontId="2"/>
  </si>
  <si>
    <t>PM 5</t>
  </si>
  <si>
    <t>17:00～21:30</t>
    <phoneticPr fontId="2"/>
  </si>
  <si>
    <t>PM 6</t>
  </si>
  <si>
    <t>18:00～21:30</t>
    <phoneticPr fontId="2"/>
  </si>
  <si>
    <t>【第１会議室】</t>
    <rPh sb="1" eb="2">
      <t>ダイ</t>
    </rPh>
    <rPh sb="3" eb="6">
      <t>カイギシツ</t>
    </rPh>
    <phoneticPr fontId="2"/>
  </si>
  <si>
    <t>PM 7</t>
  </si>
  <si>
    <t>PM 8</t>
  </si>
  <si>
    <t>PM 9</t>
  </si>
  <si>
    <t>PM 10</t>
  </si>
  <si>
    <t>PM 11</t>
  </si>
  <si>
    <t>ワイヤレスマイク送受信機</t>
    <rPh sb="8" eb="11">
      <t>ソウジュシン</t>
    </rPh>
    <rPh sb="11" eb="12">
      <t>キ</t>
    </rPh>
    <phoneticPr fontId="2"/>
  </si>
  <si>
    <t>PM 12</t>
  </si>
  <si>
    <t>【パーティールームA】</t>
    <phoneticPr fontId="2"/>
  </si>
  <si>
    <t>【全施設共通】</t>
    <rPh sb="1" eb="4">
      <t>ゼンシセツ</t>
    </rPh>
    <rPh sb="4" eb="6">
      <t>キョウツウ</t>
    </rPh>
    <phoneticPr fontId="2"/>
  </si>
  <si>
    <t>椅子</t>
    <rPh sb="0" eb="2">
      <t>イス</t>
    </rPh>
    <phoneticPr fontId="2"/>
  </si>
  <si>
    <t>長机</t>
    <rPh sb="0" eb="2">
      <t>ナガツクエ</t>
    </rPh>
    <phoneticPr fontId="2"/>
  </si>
  <si>
    <t>展示パネル</t>
    <rPh sb="0" eb="2">
      <t>テンジ</t>
    </rPh>
    <phoneticPr fontId="2"/>
  </si>
  <si>
    <t>スクリーン（移動式）</t>
    <rPh sb="6" eb="9">
      <t>イドウシキ</t>
    </rPh>
    <phoneticPr fontId="2"/>
  </si>
  <si>
    <t>デジタルプロジェクター</t>
    <phoneticPr fontId="2"/>
  </si>
  <si>
    <t>40型液晶テレビ（DVD/CD）</t>
    <phoneticPr fontId="2"/>
  </si>
  <si>
    <t>マイクスタンド</t>
    <phoneticPr fontId="2"/>
  </si>
  <si>
    <t>別途：有線マイク</t>
    <rPh sb="0" eb="2">
      <t>ベット</t>
    </rPh>
    <rPh sb="3" eb="5">
      <t>ユウセン</t>
    </rPh>
    <phoneticPr fontId="2"/>
  </si>
  <si>
    <t>旗（国・市）</t>
    <rPh sb="0" eb="1">
      <t>ハタ</t>
    </rPh>
    <rPh sb="2" eb="3">
      <t>クニ</t>
    </rPh>
    <rPh sb="4" eb="5">
      <t>シ</t>
    </rPh>
    <phoneticPr fontId="2"/>
  </si>
  <si>
    <t>持込器具（コンセント利用料）</t>
    <rPh sb="0" eb="2">
      <t>モチコミ</t>
    </rPh>
    <rPh sb="2" eb="4">
      <t>キグ</t>
    </rPh>
    <rPh sb="10" eb="13">
      <t>リヨウリョウ</t>
    </rPh>
    <phoneticPr fontId="2"/>
  </si>
  <si>
    <t>ホワイトボード</t>
    <phoneticPr fontId="2"/>
  </si>
  <si>
    <t>様式第1号（第2条第1項関係）</t>
    <rPh sb="0" eb="2">
      <t>ヨウシキ</t>
    </rPh>
    <rPh sb="2" eb="3">
      <t>ダイ</t>
    </rPh>
    <rPh sb="4" eb="5">
      <t>ゴウ</t>
    </rPh>
    <rPh sb="6" eb="7">
      <t>ダイ</t>
    </rPh>
    <rPh sb="8" eb="9">
      <t>ジョウ</t>
    </rPh>
    <rPh sb="9" eb="10">
      <t>ダイ</t>
    </rPh>
    <rPh sb="11" eb="12">
      <t>コウ</t>
    </rPh>
    <rPh sb="12" eb="14">
      <t>カンケイ</t>
    </rPh>
    <phoneticPr fontId="2"/>
  </si>
  <si>
    <t>熊本市食品交流会館使用許可申請書
（ホール及び広場用）</t>
    <rPh sb="0" eb="3">
      <t>クマモトシ</t>
    </rPh>
    <rPh sb="3" eb="5">
      <t>ショクヒン</t>
    </rPh>
    <rPh sb="5" eb="9">
      <t>コウリュウカイカン</t>
    </rPh>
    <rPh sb="9" eb="11">
      <t>シヨウ</t>
    </rPh>
    <rPh sb="11" eb="13">
      <t>キョカ</t>
    </rPh>
    <rPh sb="13" eb="16">
      <t>シンセイショ</t>
    </rPh>
    <rPh sb="21" eb="22">
      <t>オヨ</t>
    </rPh>
    <rPh sb="23" eb="25">
      <t>ヒロバ</t>
    </rPh>
    <rPh sb="25" eb="26">
      <t>ヨウ</t>
    </rPh>
    <phoneticPr fontId="2"/>
  </si>
  <si>
    <t>熊本市長　（宛）</t>
    <rPh sb="0" eb="4">
      <t>クマモトシチョウ</t>
    </rPh>
    <rPh sb="6" eb="7">
      <t>ア</t>
    </rPh>
    <phoneticPr fontId="2"/>
  </si>
  <si>
    <t>住所(所在地)</t>
    <rPh sb="0" eb="2">
      <t>ジュウショ</t>
    </rPh>
    <rPh sb="3" eb="6">
      <t>ショザイチ</t>
    </rPh>
    <phoneticPr fontId="2"/>
  </si>
  <si>
    <t>団体名</t>
    <rPh sb="0" eb="3">
      <t>ダンタイメイ</t>
    </rPh>
    <phoneticPr fontId="2"/>
  </si>
  <si>
    <t>氏名(代表者)</t>
    <rPh sb="0" eb="2">
      <t>シメイ</t>
    </rPh>
    <rPh sb="3" eb="6">
      <t>ダイヒョウシャ</t>
    </rPh>
    <phoneticPr fontId="2"/>
  </si>
  <si>
    <t>連絡責任者</t>
    <rPh sb="0" eb="2">
      <t>レンラク</t>
    </rPh>
    <rPh sb="2" eb="5">
      <t>セキニンシャ</t>
    </rPh>
    <phoneticPr fontId="2"/>
  </si>
  <si>
    <t>電話番号</t>
    <rPh sb="0" eb="2">
      <t>デンワ</t>
    </rPh>
    <rPh sb="2" eb="4">
      <t>バンゴウ</t>
    </rPh>
    <phoneticPr fontId="2"/>
  </si>
  <si>
    <t>　次のとおり熊本市食品交流会館を使用したいので申請します。
　使用に際しましては、関係条例、規則及びこれらに基づく指示に従うことを誓約します。</t>
    <rPh sb="1" eb="2">
      <t>ツギ</t>
    </rPh>
    <rPh sb="6" eb="9">
      <t>クマモトシ</t>
    </rPh>
    <rPh sb="9" eb="11">
      <t>ショクヒン</t>
    </rPh>
    <rPh sb="11" eb="15">
      <t>コウリュウカイカン</t>
    </rPh>
    <rPh sb="16" eb="18">
      <t>シヨウ</t>
    </rPh>
    <rPh sb="23" eb="25">
      <t>シンセイ</t>
    </rPh>
    <rPh sb="31" eb="33">
      <t>シヨウ</t>
    </rPh>
    <rPh sb="34" eb="35">
      <t>サイ</t>
    </rPh>
    <rPh sb="41" eb="45">
      <t>カンケイジョウレイ</t>
    </rPh>
    <rPh sb="46" eb="48">
      <t>キソク</t>
    </rPh>
    <rPh sb="48" eb="49">
      <t>オヨ</t>
    </rPh>
    <rPh sb="54" eb="55">
      <t>モト</t>
    </rPh>
    <rPh sb="57" eb="59">
      <t>シジ</t>
    </rPh>
    <rPh sb="60" eb="61">
      <t>シタガ</t>
    </rPh>
    <rPh sb="65" eb="67">
      <t>セイヤク</t>
    </rPh>
    <phoneticPr fontId="2"/>
  </si>
  <si>
    <t>行事等の
名　　称</t>
    <rPh sb="0" eb="2">
      <t>ギョウジ</t>
    </rPh>
    <rPh sb="2" eb="3">
      <t>トウ</t>
    </rPh>
    <rPh sb="5" eb="6">
      <t>メイ</t>
    </rPh>
    <rPh sb="8" eb="9">
      <t>ショウ</t>
    </rPh>
    <phoneticPr fontId="2"/>
  </si>
  <si>
    <t>行事等の
内　　容</t>
    <rPh sb="0" eb="3">
      <t>ギョウジトウ</t>
    </rPh>
    <rPh sb="5" eb="6">
      <t>ナイ</t>
    </rPh>
    <rPh sb="8" eb="9">
      <t>カタチ</t>
    </rPh>
    <phoneticPr fontId="2"/>
  </si>
  <si>
    <t>使用期間</t>
    <rPh sb="0" eb="4">
      <t>シヨウキカン</t>
    </rPh>
    <phoneticPr fontId="2"/>
  </si>
  <si>
    <t>超過時間</t>
    <rPh sb="0" eb="4">
      <t>チョウカジカン</t>
    </rPh>
    <phoneticPr fontId="2"/>
  </si>
  <si>
    <t>使用区分</t>
    <rPh sb="0" eb="4">
      <t>シヨウクブン</t>
    </rPh>
    <phoneticPr fontId="2"/>
  </si>
  <si>
    <t>入場
予定数</t>
    <rPh sb="0" eb="2">
      <t>ニュウジョウ</t>
    </rPh>
    <rPh sb="3" eb="6">
      <t>ヨテイスウ</t>
    </rPh>
    <rPh sb="5" eb="6">
      <t>スウ</t>
    </rPh>
    <phoneticPr fontId="2"/>
  </si>
  <si>
    <t>人</t>
    <rPh sb="0" eb="1">
      <t>ニン</t>
    </rPh>
    <phoneticPr fontId="2"/>
  </si>
  <si>
    <t>附属設備</t>
    <rPh sb="0" eb="2">
      <t>フゾク</t>
    </rPh>
    <rPh sb="2" eb="4">
      <t>セツビ</t>
    </rPh>
    <phoneticPr fontId="2"/>
  </si>
  <si>
    <t>ホール</t>
    <phoneticPr fontId="2"/>
  </si>
  <si>
    <t>入場料等</t>
    <rPh sb="0" eb="4">
      <t>ニュウジョウリョウトウ</t>
    </rPh>
    <phoneticPr fontId="2"/>
  </si>
  <si>
    <t>徴収する</t>
    <rPh sb="0" eb="2">
      <t>チョウシュウ</t>
    </rPh>
    <phoneticPr fontId="2"/>
  </si>
  <si>
    <t>徴収しない</t>
    <rPh sb="0" eb="2">
      <t>チョウシュウ</t>
    </rPh>
    <phoneticPr fontId="2"/>
  </si>
  <si>
    <t>使用料</t>
    <rPh sb="0" eb="3">
      <t>シヨウリョウ</t>
    </rPh>
    <phoneticPr fontId="2"/>
  </si>
  <si>
    <t>円</t>
    <rPh sb="0" eb="1">
      <t>エン</t>
    </rPh>
    <phoneticPr fontId="2"/>
  </si>
  <si>
    <t>附属設備
使 用 料</t>
    <rPh sb="0" eb="2">
      <t>フゾク</t>
    </rPh>
    <rPh sb="2" eb="4">
      <t>セツビ</t>
    </rPh>
    <rPh sb="5" eb="6">
      <t>シ</t>
    </rPh>
    <rPh sb="7" eb="8">
      <t>ヨウ</t>
    </rPh>
    <rPh sb="9" eb="10">
      <t>リョウ</t>
    </rPh>
    <phoneticPr fontId="2"/>
  </si>
  <si>
    <t>超過料</t>
    <rPh sb="0" eb="3">
      <t>チョウカリョウ</t>
    </rPh>
    <phoneticPr fontId="2"/>
  </si>
  <si>
    <t>使用料合計</t>
    <rPh sb="0" eb="3">
      <t>シヨウリョウ</t>
    </rPh>
    <rPh sb="3" eb="5">
      <t>ゴウケイ</t>
    </rPh>
    <phoneticPr fontId="2"/>
  </si>
  <si>
    <t>営業行為</t>
    <rPh sb="0" eb="4">
      <t>エイギョウコウイ</t>
    </rPh>
    <phoneticPr fontId="2"/>
  </si>
  <si>
    <t>有</t>
    <rPh sb="0" eb="1">
      <t>ア</t>
    </rPh>
    <phoneticPr fontId="2"/>
  </si>
  <si>
    <t>無</t>
    <rPh sb="0" eb="1">
      <t>ナシ</t>
    </rPh>
    <phoneticPr fontId="2"/>
  </si>
  <si>
    <t>備　　考</t>
    <rPh sb="0" eb="1">
      <t>ビ</t>
    </rPh>
    <rPh sb="3" eb="4">
      <t>コウ</t>
    </rPh>
    <phoneticPr fontId="2"/>
  </si>
  <si>
    <t>※太枠内は記載しないでください。</t>
    <rPh sb="1" eb="3">
      <t>フトワク</t>
    </rPh>
    <rPh sb="3" eb="4">
      <t>ナイ</t>
    </rPh>
    <rPh sb="5" eb="7">
      <t>キサイ</t>
    </rPh>
    <phoneticPr fontId="2"/>
  </si>
  <si>
    <t>使用する</t>
    <rPh sb="0" eb="2">
      <t>シヨウ</t>
    </rPh>
    <phoneticPr fontId="2"/>
  </si>
  <si>
    <t>使用しない</t>
    <rPh sb="0" eb="2">
      <t>シヨウ</t>
    </rPh>
    <phoneticPr fontId="2"/>
  </si>
  <si>
    <t>から</t>
    <phoneticPr fontId="2"/>
  </si>
  <si>
    <t>まで</t>
    <phoneticPr fontId="2"/>
  </si>
  <si>
    <t>個数</t>
    <rPh sb="0" eb="2">
      <t>コスウ</t>
    </rPh>
    <phoneticPr fontId="2"/>
  </si>
  <si>
    <t>単位</t>
    <rPh sb="0" eb="2">
      <t>タンイ</t>
    </rPh>
    <phoneticPr fontId="2"/>
  </si>
  <si>
    <t>利用時間</t>
    <rPh sb="0" eb="4">
      <t>リヨウジカン</t>
    </rPh>
    <phoneticPr fontId="2"/>
  </si>
  <si>
    <t>利用日</t>
    <rPh sb="0" eb="3">
      <t>リヨウビ</t>
    </rPh>
    <phoneticPr fontId="2"/>
  </si>
  <si>
    <t>合計</t>
    <rPh sb="0" eb="2">
      <t>ゴウケイ</t>
    </rPh>
    <phoneticPr fontId="2"/>
  </si>
  <si>
    <t>附属設備</t>
    <rPh sb="0" eb="4">
      <t>フゾクセツビ</t>
    </rPh>
    <phoneticPr fontId="2"/>
  </si>
  <si>
    <t>■■■■株式会社</t>
    <rPh sb="4" eb="8">
      <t>カブシキガイシャ</t>
    </rPh>
    <phoneticPr fontId="3"/>
  </si>
  <si>
    <t>〒111-2222</t>
    <phoneticPr fontId="2"/>
  </si>
  <si>
    <t>○○市○○区○○町111-11</t>
    <rPh sb="2" eb="3">
      <t>シ</t>
    </rPh>
    <rPh sb="5" eb="6">
      <t>ク</t>
    </rPh>
    <rPh sb="8" eb="9">
      <t>マチ</t>
    </rPh>
    <phoneticPr fontId="3"/>
  </si>
  <si>
    <t>△△　△△</t>
    <phoneticPr fontId="3"/>
  </si>
  <si>
    <t>▲▲　▲▲</t>
    <phoneticPr fontId="3"/>
  </si>
  <si>
    <t>096-123-1234</t>
    <phoneticPr fontId="3"/>
  </si>
  <si>
    <t>●●イベント</t>
    <phoneticPr fontId="3"/>
  </si>
  <si>
    <t>●●向けのイベントを開催する</t>
    <rPh sb="2" eb="3">
      <t>ム</t>
    </rPh>
    <rPh sb="10" eb="12">
      <t>カイサイ</t>
    </rPh>
    <phoneticPr fontId="3"/>
  </si>
  <si>
    <t>【使用明細】</t>
  </si>
  <si>
    <t>請求書</t>
    <phoneticPr fontId="13"/>
  </si>
  <si>
    <t>御中</t>
    <rPh sb="0" eb="2">
      <t>オンチュウ</t>
    </rPh>
    <phoneticPr fontId="13"/>
  </si>
  <si>
    <t>振込金額</t>
    <phoneticPr fontId="13"/>
  </si>
  <si>
    <t>税込</t>
    <phoneticPr fontId="13"/>
  </si>
  <si>
    <t>振込期限</t>
    <phoneticPr fontId="13"/>
  </si>
  <si>
    <t>利用日</t>
    <rPh sb="0" eb="2">
      <t>リヨウ</t>
    </rPh>
    <rPh sb="2" eb="3">
      <t>ビ</t>
    </rPh>
    <phoneticPr fontId="13"/>
  </si>
  <si>
    <t>行事名</t>
    <rPh sb="0" eb="2">
      <t>ギョウジ</t>
    </rPh>
    <rPh sb="2" eb="3">
      <t>メイ</t>
    </rPh>
    <phoneticPr fontId="13"/>
  </si>
  <si>
    <t>Ｎｏ</t>
    <phoneticPr fontId="13"/>
  </si>
  <si>
    <t>項目名</t>
    <rPh sb="0" eb="2">
      <t>コウモク</t>
    </rPh>
    <rPh sb="2" eb="3">
      <t>メイ</t>
    </rPh>
    <phoneticPr fontId="13"/>
  </si>
  <si>
    <t>時間帯</t>
    <rPh sb="0" eb="3">
      <t>ジカンタイ</t>
    </rPh>
    <phoneticPr fontId="13"/>
  </si>
  <si>
    <t>数量</t>
    <rPh sb="0" eb="2">
      <t>スウリョウ</t>
    </rPh>
    <phoneticPr fontId="13"/>
  </si>
  <si>
    <t>単価</t>
    <rPh sb="0" eb="2">
      <t>タンカ</t>
    </rPh>
    <phoneticPr fontId="13"/>
  </si>
  <si>
    <t>金額</t>
    <rPh sb="0" eb="2">
      <t>キンガク</t>
    </rPh>
    <phoneticPr fontId="13"/>
  </si>
  <si>
    <t>【振込口座】</t>
    <phoneticPr fontId="13"/>
  </si>
  <si>
    <t>合　　　計</t>
    <rPh sb="0" eb="1">
      <t>ゴウ</t>
    </rPh>
    <rPh sb="4" eb="5">
      <t>ケイ</t>
    </rPh>
    <phoneticPr fontId="13"/>
  </si>
  <si>
    <t>内 消 費 税</t>
    <rPh sb="0" eb="1">
      <t>ウチ</t>
    </rPh>
    <rPh sb="2" eb="3">
      <t>ショウ</t>
    </rPh>
    <rPh sb="4" eb="5">
      <t>ヒ</t>
    </rPh>
    <rPh sb="6" eb="7">
      <t>ゼイ</t>
    </rPh>
    <phoneticPr fontId="13"/>
  </si>
  <si>
    <t>振込手数料はお客様負担となります。</t>
    <phoneticPr fontId="13"/>
  </si>
  <si>
    <t>【備　考】</t>
    <rPh sb="1" eb="2">
      <t>ビ</t>
    </rPh>
    <rPh sb="3" eb="4">
      <t>コウ</t>
    </rPh>
    <phoneticPr fontId="13"/>
  </si>
  <si>
    <t>・</t>
    <phoneticPr fontId="13"/>
  </si>
  <si>
    <t>（サンプル）付属設備の追加は別料金となります。</t>
  </si>
  <si>
    <t>（サンプル）記載以外の付属設備追加は別料金となります。</t>
  </si>
  <si>
    <t>音響機器使用時は、別途「拡声装置」利用料が必要となります。</t>
    <rPh sb="0" eb="2">
      <t>オンキョウ</t>
    </rPh>
    <rPh sb="2" eb="4">
      <t>キキ</t>
    </rPh>
    <rPh sb="4" eb="7">
      <t>シヨウジ</t>
    </rPh>
    <rPh sb="9" eb="11">
      <t>ベット</t>
    </rPh>
    <rPh sb="12" eb="16">
      <t>カクセイソウチ</t>
    </rPh>
    <rPh sb="17" eb="20">
      <t>リヨウリョウ</t>
    </rPh>
    <rPh sb="21" eb="23">
      <t>ヒツヨウ</t>
    </rPh>
    <phoneticPr fontId="13"/>
  </si>
  <si>
    <t>ワイヤレスマイク使用時は、別途「ワイヤレス送受信機」利用料が必要となります。</t>
    <rPh sb="8" eb="11">
      <t>シヨウジ</t>
    </rPh>
    <rPh sb="13" eb="15">
      <t>ベット</t>
    </rPh>
    <rPh sb="21" eb="25">
      <t>ソウジュシンキ</t>
    </rPh>
    <rPh sb="26" eb="29">
      <t>リヨウリョウ</t>
    </rPh>
    <rPh sb="30" eb="32">
      <t>ヒツヨウ</t>
    </rPh>
    <phoneticPr fontId="13"/>
  </si>
  <si>
    <t>別紙明細のとおり</t>
    <rPh sb="0" eb="4">
      <t>ベッシメイサイ</t>
    </rPh>
    <phoneticPr fontId="2"/>
  </si>
  <si>
    <t>時から</t>
    <rPh sb="0" eb="1">
      <t>ジ</t>
    </rPh>
    <phoneticPr fontId="2"/>
  </si>
  <si>
    <t>時まで</t>
    <rPh sb="0" eb="1">
      <t>ジ</t>
    </rPh>
    <phoneticPr fontId="2"/>
  </si>
  <si>
    <t>催事の内容</t>
    <rPh sb="0" eb="2">
      <t>サイジ</t>
    </rPh>
    <rPh sb="3" eb="5">
      <t>ナイヨウ</t>
    </rPh>
    <phoneticPr fontId="2"/>
  </si>
  <si>
    <t>日間</t>
    <rPh sb="0" eb="2">
      <t>ニチカン</t>
    </rPh>
    <phoneticPr fontId="2"/>
  </si>
  <si>
    <t>１．利用日</t>
    <rPh sb="2" eb="5">
      <t>リヨウビ</t>
    </rPh>
    <phoneticPr fontId="2"/>
  </si>
  <si>
    <t>２．使用時間</t>
    <rPh sb="2" eb="4">
      <t>シヨウ</t>
    </rPh>
    <rPh sb="4" eb="6">
      <t>ジカン</t>
    </rPh>
    <phoneticPr fontId="2"/>
  </si>
  <si>
    <t>以下の表から使用する備品に数量を入力してください。</t>
    <rPh sb="0" eb="2">
      <t>イカ</t>
    </rPh>
    <rPh sb="3" eb="4">
      <t>ヒョウ</t>
    </rPh>
    <rPh sb="6" eb="8">
      <t>シヨウ</t>
    </rPh>
    <rPh sb="10" eb="12">
      <t>ビヒン</t>
    </rPh>
    <rPh sb="13" eb="15">
      <t>スウリョウ</t>
    </rPh>
    <rPh sb="16" eb="18">
      <t>ニュウリョク</t>
    </rPh>
    <phoneticPr fontId="2"/>
  </si>
  <si>
    <t>申請日</t>
    <rPh sb="0" eb="3">
      <t>シンセイビ</t>
    </rPh>
    <phoneticPr fontId="2"/>
  </si>
  <si>
    <t>①</t>
    <phoneticPr fontId="2"/>
  </si>
  <si>
    <t>②</t>
    <phoneticPr fontId="2"/>
  </si>
  <si>
    <t>③</t>
    <phoneticPr fontId="2"/>
  </si>
  <si>
    <t>④</t>
    <phoneticPr fontId="2"/>
  </si>
  <si>
    <t>⑤</t>
    <phoneticPr fontId="2"/>
  </si>
  <si>
    <t>＜参考＞</t>
    <rPh sb="1" eb="3">
      <t>サンコウ</t>
    </rPh>
    <phoneticPr fontId="2"/>
  </si>
  <si>
    <t>【会場使用料】</t>
    <rPh sb="1" eb="3">
      <t>カイジョウ</t>
    </rPh>
    <rPh sb="3" eb="6">
      <t>シヨウリョウ</t>
    </rPh>
    <phoneticPr fontId="2"/>
  </si>
  <si>
    <t>計</t>
    <rPh sb="0" eb="1">
      <t>ケイ</t>
    </rPh>
    <phoneticPr fontId="2"/>
  </si>
  <si>
    <t>から</t>
    <phoneticPr fontId="2"/>
  </si>
  <si>
    <t>まで</t>
    <phoneticPr fontId="2"/>
  </si>
  <si>
    <t>日間</t>
    <rPh sb="0" eb="2">
      <t>ニチカン</t>
    </rPh>
    <phoneticPr fontId="2"/>
  </si>
  <si>
    <t>様式第3号（第2条第3項関係）</t>
    <rPh sb="0" eb="2">
      <t>ヨウシキ</t>
    </rPh>
    <rPh sb="2" eb="3">
      <t>ダイ</t>
    </rPh>
    <rPh sb="4" eb="5">
      <t>ゴウ</t>
    </rPh>
    <rPh sb="6" eb="7">
      <t>ダイ</t>
    </rPh>
    <rPh sb="8" eb="9">
      <t>ジョウ</t>
    </rPh>
    <rPh sb="9" eb="10">
      <t>ダイ</t>
    </rPh>
    <rPh sb="11" eb="12">
      <t>コウ</t>
    </rPh>
    <rPh sb="12" eb="14">
      <t>カンケイ</t>
    </rPh>
    <phoneticPr fontId="2"/>
  </si>
  <si>
    <t>熊本市食品交流会館使用許可書
（ホール及び広場用）</t>
    <rPh sb="0" eb="3">
      <t>クマモトシ</t>
    </rPh>
    <rPh sb="3" eb="5">
      <t>ショクヒン</t>
    </rPh>
    <rPh sb="5" eb="9">
      <t>コウリュウカイカン</t>
    </rPh>
    <rPh sb="9" eb="11">
      <t>シヨウ</t>
    </rPh>
    <rPh sb="11" eb="13">
      <t>キョカ</t>
    </rPh>
    <rPh sb="19" eb="20">
      <t>オヨ</t>
    </rPh>
    <rPh sb="21" eb="23">
      <t>ヒロバ</t>
    </rPh>
    <rPh sb="23" eb="24">
      <t>ヨウ</t>
    </rPh>
    <phoneticPr fontId="2"/>
  </si>
  <si>
    <t>午前</t>
    <rPh sb="0" eb="2">
      <t>ゴゼン</t>
    </rPh>
    <phoneticPr fontId="2"/>
  </si>
  <si>
    <t>午後</t>
    <rPh sb="0" eb="2">
      <t>ゴゴ</t>
    </rPh>
    <phoneticPr fontId="2"/>
  </si>
  <si>
    <t>夜間</t>
    <rPh sb="0" eb="2">
      <t>ヤカン</t>
    </rPh>
    <phoneticPr fontId="2"/>
  </si>
  <si>
    <t>３．営業行為</t>
    <rPh sb="2" eb="6">
      <t>エイギョウコウイ</t>
    </rPh>
    <phoneticPr fontId="3"/>
  </si>
  <si>
    <t>営業行為がある場合、営業行為を行う時間帯に「〇」を入力</t>
    <rPh sb="0" eb="4">
      <t>エイギョウコウイ</t>
    </rPh>
    <rPh sb="7" eb="9">
      <t>バアイ</t>
    </rPh>
    <rPh sb="10" eb="14">
      <t>エイギョウコウイ</t>
    </rPh>
    <rPh sb="15" eb="16">
      <t>オコナ</t>
    </rPh>
    <rPh sb="17" eb="20">
      <t>ジカンタイ</t>
    </rPh>
    <rPh sb="25" eb="27">
      <t>ニュウリョク</t>
    </rPh>
    <phoneticPr fontId="2"/>
  </si>
  <si>
    <t>＜職員入力欄＞</t>
    <rPh sb="1" eb="3">
      <t>ショクイン</t>
    </rPh>
    <rPh sb="3" eb="5">
      <t>ニュウリョク</t>
    </rPh>
    <rPh sb="5" eb="6">
      <t>ラン</t>
    </rPh>
    <phoneticPr fontId="2"/>
  </si>
  <si>
    <t>営利目的の場合</t>
    <rPh sb="0" eb="2">
      <t>エイリ</t>
    </rPh>
    <rPh sb="2" eb="4">
      <t>モクテキ</t>
    </rPh>
    <rPh sb="5" eb="7">
      <t>バアイ</t>
    </rPh>
    <phoneticPr fontId="2"/>
  </si>
  <si>
    <t>会場使用料</t>
    <rPh sb="0" eb="2">
      <t>カイジョウ</t>
    </rPh>
    <rPh sb="2" eb="5">
      <t>シヨウリョウ</t>
    </rPh>
    <phoneticPr fontId="2"/>
  </si>
  <si>
    <t>４．使用備品</t>
    <rPh sb="2" eb="6">
      <t>シヨウビヒン</t>
    </rPh>
    <phoneticPr fontId="2"/>
  </si>
  <si>
    <t>１ｋｗ</t>
    <phoneticPr fontId="1"/>
  </si>
  <si>
    <t>備品</t>
    <rPh sb="0" eb="2">
      <t>ビヒン</t>
    </rPh>
    <phoneticPr fontId="2"/>
  </si>
  <si>
    <t>　●年●月●日付けで申請のあった熊本市食品交流会館の使用については、次のとおり許可します。使用に際しましては、関係じょうれい、規則及びこれらに基づく指示に従ってください。</t>
    <rPh sb="2" eb="3">
      <t>ネン</t>
    </rPh>
    <rPh sb="4" eb="5">
      <t>ガツ</t>
    </rPh>
    <rPh sb="6" eb="8">
      <t>ヒヅ</t>
    </rPh>
    <rPh sb="10" eb="12">
      <t>シンセイ</t>
    </rPh>
    <rPh sb="16" eb="19">
      <t>クマモトシ</t>
    </rPh>
    <rPh sb="19" eb="21">
      <t>ショクヒン</t>
    </rPh>
    <rPh sb="21" eb="23">
      <t>コウリュウ</t>
    </rPh>
    <rPh sb="23" eb="25">
      <t>カイカン</t>
    </rPh>
    <rPh sb="26" eb="28">
      <t>シヨウ</t>
    </rPh>
    <rPh sb="34" eb="35">
      <t>ツギ</t>
    </rPh>
    <rPh sb="39" eb="41">
      <t>キョカ</t>
    </rPh>
    <rPh sb="45" eb="47">
      <t>シヨウ</t>
    </rPh>
    <rPh sb="48" eb="49">
      <t>サイ</t>
    </rPh>
    <rPh sb="55" eb="57">
      <t>カンケイ</t>
    </rPh>
    <rPh sb="63" eb="65">
      <t>キソク</t>
    </rPh>
    <rPh sb="65" eb="66">
      <t>オヨ</t>
    </rPh>
    <rPh sb="71" eb="72">
      <t>モト</t>
    </rPh>
    <rPh sb="74" eb="76">
      <t>シジ</t>
    </rPh>
    <rPh sb="77" eb="78">
      <t>シタガ</t>
    </rPh>
    <phoneticPr fontId="2"/>
  </si>
  <si>
    <t>持ち込み器具
(コンセント利用料)</t>
    <rPh sb="0" eb="1">
      <t>モ</t>
    </rPh>
    <rPh sb="2" eb="3">
      <t>コ</t>
    </rPh>
    <rPh sb="4" eb="6">
      <t>キグ</t>
    </rPh>
    <rPh sb="13" eb="15">
      <t>リヨウ</t>
    </rPh>
    <rPh sb="15" eb="16">
      <t>リョウ</t>
    </rPh>
    <phoneticPr fontId="2"/>
  </si>
  <si>
    <t>１ｋｗ</t>
    <phoneticPr fontId="2"/>
  </si>
  <si>
    <t>使用人数</t>
    <rPh sb="0" eb="4">
      <t>シヨウニンズウ</t>
    </rPh>
    <phoneticPr fontId="3"/>
  </si>
  <si>
    <t>備考</t>
    <rPh sb="0" eb="2">
      <t>ビコウ</t>
    </rPh>
    <phoneticPr fontId="3"/>
  </si>
  <si>
    <t>営業行為の
有無</t>
    <rPh sb="0" eb="2">
      <t>エイギョウ</t>
    </rPh>
    <rPh sb="2" eb="4">
      <t>コウイ</t>
    </rPh>
    <rPh sb="6" eb="8">
      <t>ウム</t>
    </rPh>
    <phoneticPr fontId="3"/>
  </si>
  <si>
    <t>イベント広場(複数日使用する場合は、１日毎に入力してください）</t>
    <rPh sb="4" eb="6">
      <t>ヒロバ</t>
    </rPh>
    <rPh sb="7" eb="10">
      <t>フクスウビ</t>
    </rPh>
    <rPh sb="10" eb="12">
      <t>シヨウ</t>
    </rPh>
    <rPh sb="14" eb="16">
      <t>バアイ</t>
    </rPh>
    <rPh sb="19" eb="20">
      <t>ニチ</t>
    </rPh>
    <rPh sb="20" eb="21">
      <t>ゴト</t>
    </rPh>
    <rPh sb="22" eb="24">
      <t>ニュウリョク</t>
    </rPh>
    <phoneticPr fontId="2"/>
  </si>
  <si>
    <t>１．使用日</t>
    <rPh sb="2" eb="4">
      <t>シヨウ</t>
    </rPh>
    <rPh sb="4" eb="5">
      <t>ビ</t>
    </rPh>
    <phoneticPr fontId="2"/>
  </si>
  <si>
    <t>電気料【200V】</t>
    <rPh sb="0" eb="3">
      <t>デンキリョウ</t>
    </rPh>
    <phoneticPr fontId="2"/>
  </si>
  <si>
    <t>水道料</t>
    <rPh sb="0" eb="3">
      <t>スイドウリョウ</t>
    </rPh>
    <phoneticPr fontId="2"/>
  </si>
  <si>
    <t>利用後に支払</t>
    <rPh sb="0" eb="3">
      <t>リヨウゴ</t>
    </rPh>
    <rPh sb="4" eb="6">
      <t>シハライ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</si>
</sst>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176" formatCode="0_ &quot;名&quot;"/>
    <numFmt numFmtId="177" formatCode="hh:mm;@"/>
    <numFmt numFmtId="178" formatCode="0_);[Red]\(0\)"/>
    <numFmt numFmtId="179" formatCode="[$]ggge&quot;年&quot;m&quot;月&quot;d&quot;日&quot;;@" x16r2:formatCode16="[$-ja-JP-x-gannen]ggge&quot;年&quot;m&quot;月&quot;d&quot;日&quot;;@"/>
    <numFmt numFmtId="180" formatCode="#,##0_ "/>
    <numFmt numFmtId="181" formatCode="#,##0_ ;[Red]\-#,##0\ "/>
    <numFmt numFmtId="182" formatCode="\(aaa\)"/>
    <numFmt numFmtId="183" formatCode="[$-411]ggge&quot;年&quot;m&quot;月&quot;d&quot;日&quot;;@"/>
    <numFmt numFmtId="184" formatCode="&quot;¥&quot;#,##0\ ;[Red]&quot;¥&quot;\-#,##0\ "/>
    <numFmt numFmtId="185" formatCode="mm/dd;@"/>
    <numFmt numFmtId="186" formatCode="yyyy/m/d\(aaa\)"/>
    <numFmt numFmtId="187" formatCode="#,##0&quot;円&quot;"/>
    <numFmt numFmtId="188" formatCode="[$-F800]dddd\,\ mmmm\ dd\,\ yyyy"/>
    <numFmt numFmtId="189" formatCode="[$-F800]dddd\,\ mmmm\ dd\,\ yyyy\,&quot;(aaa)&quot;"/>
  </numFmts>
  <fonts count="20">
    <font>
      <sz val="11"/>
      <color theme="1"/>
      <name val="游ゴシック"/>
      <family val="2"/>
      <charset val="128"/>
      <scheme val="minor"/>
    </font>
    <font>
      <sz val="11"/>
      <color theme="1"/>
      <name val="ＭＳ 明朝"/>
      <family val="2"/>
      <charset val="128"/>
    </font>
    <font>
      <sz val="6"/>
      <name val="游ゴシック"/>
      <family val="2"/>
      <charset val="128"/>
      <scheme val="minor"/>
    </font>
    <font>
      <sz val="6"/>
      <name val="ＭＳ 明朝"/>
      <family val="2"/>
      <charset val="128"/>
    </font>
    <font>
      <sz val="11"/>
      <color theme="1"/>
      <name val="ＭＳ 明朝"/>
      <family val="1"/>
      <charset val="128"/>
    </font>
    <font>
      <b/>
      <u/>
      <sz val="26"/>
      <color rgb="FFFF0000"/>
      <name val="游ゴシック"/>
      <family val="3"/>
      <charset val="128"/>
      <scheme val="minor"/>
    </font>
    <font>
      <b/>
      <sz val="11"/>
      <color rgb="FFFF0000"/>
      <name val="游ゴシック"/>
      <family val="3"/>
      <charset val="128"/>
      <scheme val="minor"/>
    </font>
    <font>
      <sz val="11"/>
      <color theme="1"/>
      <name val="游ゴシック"/>
      <family val="2"/>
      <charset val="128"/>
      <scheme val="minor"/>
    </font>
    <font>
      <sz val="9"/>
      <color theme="1"/>
      <name val="ＭＳ 明朝"/>
      <family val="1"/>
      <charset val="128"/>
    </font>
    <font>
      <sz val="11"/>
      <name val="游ゴシック"/>
      <family val="3"/>
      <charset val="128"/>
      <scheme val="minor"/>
    </font>
    <font>
      <sz val="11"/>
      <name val="ＭＳ Ｐゴシック"/>
      <family val="3"/>
      <charset val="128"/>
    </font>
    <font>
      <sz val="11"/>
      <name val="ＭＳ 明朝"/>
      <family val="1"/>
      <charset val="128"/>
    </font>
    <font>
      <b/>
      <sz val="14"/>
      <name val="ＭＳ 明朝"/>
      <family val="1"/>
      <charset val="128"/>
    </font>
    <font>
      <sz val="6"/>
      <name val="ＭＳ Ｐゴシック"/>
      <family val="3"/>
      <charset val="128"/>
    </font>
    <font>
      <sz val="8"/>
      <name val="ＭＳ 明朝"/>
      <family val="1"/>
      <charset val="128"/>
    </font>
    <font>
      <sz val="9"/>
      <name val="ＭＳ 明朝"/>
      <family val="1"/>
      <charset val="128"/>
    </font>
    <font>
      <b/>
      <sz val="9"/>
      <color indexed="81"/>
      <name val="MS P ゴシック"/>
      <family val="3"/>
      <charset val="128"/>
    </font>
    <font>
      <sz val="11"/>
      <color theme="1"/>
      <name val="游ゴシック"/>
      <family val="3"/>
      <charset val="128"/>
      <scheme val="minor"/>
    </font>
    <font>
      <sz val="10"/>
      <color theme="1"/>
      <name val="ＭＳ 明朝"/>
      <family val="1"/>
      <charset val="128"/>
    </font>
    <font>
      <sz val="9"/>
      <color theme="1"/>
      <name val="游ゴシック"/>
      <family val="2"/>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0"/>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5">
    <xf numFmtId="0" fontId="0" fillId="0" borderId="0">
      <alignment vertical="center"/>
    </xf>
    <xf numFmtId="38" fontId="7" fillId="0" borderId="0" applyFont="0" applyFill="0" applyBorder="0" applyAlignment="0" applyProtection="0">
      <alignment vertical="center"/>
    </xf>
    <xf numFmtId="0" fontId="10" fillId="0" borderId="0"/>
    <xf numFmtId="6" fontId="10" fillId="0" borderId="0" applyFont="0" applyFill="0" applyBorder="0" applyAlignment="0" applyProtection="0">
      <alignment vertical="center"/>
    </xf>
    <xf numFmtId="38" fontId="10" fillId="0" borderId="0" applyFont="0" applyFill="0" applyBorder="0" applyAlignment="0" applyProtection="0">
      <alignment vertical="center"/>
    </xf>
  </cellStyleXfs>
  <cellXfs count="289">
    <xf numFmtId="0" fontId="0" fillId="0" borderId="0" xfId="0">
      <alignment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shrinkToFit="1"/>
    </xf>
    <xf numFmtId="0" fontId="0" fillId="0" borderId="11" xfId="0" applyBorder="1" applyAlignment="1">
      <alignment horizontal="center" vertical="center"/>
    </xf>
    <xf numFmtId="0" fontId="0" fillId="0" borderId="11" xfId="0" applyBorder="1" applyAlignment="1">
      <alignment horizontal="center" vertical="center" wrapText="1"/>
    </xf>
    <xf numFmtId="0" fontId="0" fillId="0" borderId="2" xfId="0" applyBorder="1" applyAlignment="1">
      <alignment horizontal="center" vertical="center" wrapText="1"/>
    </xf>
    <xf numFmtId="180" fontId="0" fillId="0" borderId="0" xfId="0" applyNumberFormat="1">
      <alignment vertical="center"/>
    </xf>
    <xf numFmtId="0" fontId="0" fillId="0" borderId="1" xfId="0" applyBorder="1">
      <alignment vertical="center"/>
    </xf>
    <xf numFmtId="180" fontId="0" fillId="0" borderId="1" xfId="0" applyNumberFormat="1" applyBorder="1">
      <alignment vertical="center"/>
    </xf>
    <xf numFmtId="181" fontId="0" fillId="0" borderId="19" xfId="0" applyNumberFormat="1" applyBorder="1">
      <alignment vertical="center"/>
    </xf>
    <xf numFmtId="181" fontId="0" fillId="0" borderId="0" xfId="0" applyNumberFormat="1">
      <alignment vertical="center"/>
    </xf>
    <xf numFmtId="181" fontId="0" fillId="0" borderId="1" xfId="0" applyNumberFormat="1" applyBorder="1">
      <alignment vertical="center"/>
    </xf>
    <xf numFmtId="182" fontId="0" fillId="0" borderId="0" xfId="0" applyNumberFormat="1" applyAlignment="1">
      <alignment horizontal="center" vertical="center"/>
    </xf>
    <xf numFmtId="183" fontId="0" fillId="0" borderId="0" xfId="0" applyNumberFormat="1" applyAlignment="1">
      <alignment horizontal="center" vertical="center"/>
    </xf>
    <xf numFmtId="180" fontId="0" fillId="0" borderId="0" xfId="0" applyNumberFormat="1" applyAlignment="1">
      <alignment horizontal="center" vertical="center"/>
    </xf>
    <xf numFmtId="0" fontId="0" fillId="2" borderId="0" xfId="0" applyFill="1">
      <alignment vertical="center"/>
    </xf>
    <xf numFmtId="183" fontId="0" fillId="2" borderId="0" xfId="0" applyNumberFormat="1" applyFill="1" applyAlignment="1">
      <alignment horizontal="center" vertical="center"/>
    </xf>
    <xf numFmtId="182" fontId="0" fillId="2" borderId="0" xfId="0" applyNumberFormat="1" applyFill="1" applyAlignment="1">
      <alignment horizontal="center" vertical="center"/>
    </xf>
    <xf numFmtId="0" fontId="0" fillId="2" borderId="0" xfId="0" applyFill="1" applyAlignment="1">
      <alignment horizontal="center" vertical="center"/>
    </xf>
    <xf numFmtId="180" fontId="0" fillId="2" borderId="0" xfId="0" applyNumberFormat="1" applyFill="1" applyAlignment="1">
      <alignment horizontal="center" vertical="center"/>
    </xf>
    <xf numFmtId="183" fontId="0" fillId="0" borderId="1" xfId="0" applyNumberFormat="1" applyBorder="1" applyAlignment="1">
      <alignment horizontal="center" vertical="center"/>
    </xf>
    <xf numFmtId="182" fontId="0" fillId="0" borderId="1" xfId="0" applyNumberFormat="1" applyBorder="1" applyAlignment="1">
      <alignment horizontal="center" vertical="center"/>
    </xf>
    <xf numFmtId="180" fontId="0" fillId="0" borderId="1" xfId="0" applyNumberForma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4" fillId="0" borderId="1" xfId="0" applyFont="1" applyBorder="1" applyAlignment="1">
      <alignment vertical="center" wrapText="1"/>
    </xf>
    <xf numFmtId="0" fontId="4" fillId="0" borderId="1" xfId="0" applyFont="1" applyBorder="1">
      <alignment vertical="center"/>
    </xf>
    <xf numFmtId="0" fontId="4" fillId="0" borderId="1" xfId="0" applyFont="1" applyBorder="1" applyAlignment="1">
      <alignment horizontal="center" vertical="center" wrapText="1"/>
    </xf>
    <xf numFmtId="0" fontId="4" fillId="0" borderId="4" xfId="0" applyFont="1" applyBorder="1">
      <alignment vertical="center"/>
    </xf>
    <xf numFmtId="0" fontId="4" fillId="0" borderId="25" xfId="0" applyFont="1" applyBorder="1">
      <alignment vertical="center"/>
    </xf>
    <xf numFmtId="0" fontId="4" fillId="0" borderId="6" xfId="0" applyFont="1" applyBorder="1" applyAlignment="1">
      <alignment horizontal="center" vertical="center"/>
    </xf>
    <xf numFmtId="0" fontId="4" fillId="0" borderId="7" xfId="0" applyFont="1" applyBorder="1">
      <alignment vertical="center"/>
    </xf>
    <xf numFmtId="0" fontId="4" fillId="0" borderId="7" xfId="0" applyFont="1" applyBorder="1" applyAlignment="1">
      <alignment horizontal="center" vertical="center"/>
    </xf>
    <xf numFmtId="0" fontId="4" fillId="0" borderId="8" xfId="0" applyFont="1" applyBorder="1">
      <alignment vertical="center"/>
    </xf>
    <xf numFmtId="0" fontId="4" fillId="0" borderId="5" xfId="0" applyFont="1" applyBorder="1" applyAlignment="1">
      <alignment horizontal="center" vertical="center"/>
    </xf>
    <xf numFmtId="0" fontId="4" fillId="0" borderId="26" xfId="0" applyFont="1" applyBorder="1">
      <alignment vertical="center"/>
    </xf>
    <xf numFmtId="0" fontId="4" fillId="0" borderId="27" xfId="0" applyFont="1" applyBorder="1">
      <alignment vertical="center"/>
    </xf>
    <xf numFmtId="0" fontId="4" fillId="0" borderId="30" xfId="0" applyFont="1" applyBorder="1">
      <alignment vertical="center"/>
    </xf>
    <xf numFmtId="0" fontId="4" fillId="0" borderId="31" xfId="0" applyFont="1" applyBorder="1" applyAlignment="1">
      <alignment horizontal="center" vertical="center" wrapText="1"/>
    </xf>
    <xf numFmtId="0" fontId="4" fillId="0" borderId="32" xfId="0" applyFont="1" applyBorder="1">
      <alignment vertical="center"/>
    </xf>
    <xf numFmtId="0" fontId="4" fillId="0" borderId="33" xfId="0" applyFont="1" applyBorder="1">
      <alignment vertical="center"/>
    </xf>
    <xf numFmtId="0" fontId="8" fillId="0" borderId="1" xfId="0" applyFont="1" applyBorder="1" applyAlignment="1">
      <alignment horizontal="center" vertical="center"/>
    </xf>
    <xf numFmtId="0" fontId="4" fillId="0" borderId="23" xfId="0" applyFont="1" applyBorder="1">
      <alignment vertical="center"/>
    </xf>
    <xf numFmtId="0" fontId="4" fillId="0" borderId="31" xfId="0" applyFont="1" applyBorder="1">
      <alignment vertical="center"/>
    </xf>
    <xf numFmtId="0" fontId="4" fillId="0" borderId="14" xfId="0" applyFont="1" applyBorder="1" applyAlignment="1">
      <alignment horizontal="center" vertical="center"/>
    </xf>
    <xf numFmtId="0" fontId="4" fillId="0" borderId="14" xfId="0" applyFont="1" applyBorder="1">
      <alignment vertical="center"/>
    </xf>
    <xf numFmtId="0" fontId="4" fillId="0" borderId="36" xfId="0" applyFont="1" applyBorder="1">
      <alignment vertical="center"/>
    </xf>
    <xf numFmtId="0" fontId="4" fillId="0" borderId="35" xfId="0" applyFont="1" applyBorder="1">
      <alignment vertical="center"/>
    </xf>
    <xf numFmtId="0" fontId="4" fillId="0" borderId="37" xfId="0" applyFont="1" applyBorder="1">
      <alignment vertical="center"/>
    </xf>
    <xf numFmtId="0" fontId="4" fillId="0" borderId="9" xfId="0" applyFont="1" applyBorder="1">
      <alignment vertical="center"/>
    </xf>
    <xf numFmtId="0" fontId="8" fillId="0" borderId="0" xfId="0" applyFont="1">
      <alignment vertical="center"/>
    </xf>
    <xf numFmtId="0" fontId="0" fillId="0" borderId="12" xfId="0" applyBorder="1">
      <alignment vertical="center"/>
    </xf>
    <xf numFmtId="0" fontId="0" fillId="0" borderId="0" xfId="0" applyAlignment="1">
      <alignment horizontal="left" vertical="center"/>
    </xf>
    <xf numFmtId="178" fontId="0" fillId="0" borderId="1" xfId="0" applyNumberFormat="1" applyBorder="1">
      <alignment vertical="center"/>
    </xf>
    <xf numFmtId="178" fontId="0" fillId="0" borderId="1" xfId="0" applyNumberFormat="1" applyBorder="1" applyAlignment="1">
      <alignment horizontal="center" vertical="center"/>
    </xf>
    <xf numFmtId="38" fontId="9" fillId="0" borderId="0" xfId="1" applyFont="1" applyFill="1" applyBorder="1" applyAlignment="1">
      <alignment vertical="center"/>
    </xf>
    <xf numFmtId="0" fontId="0" fillId="2" borderId="1" xfId="0" applyFill="1" applyBorder="1" applyAlignment="1">
      <alignment horizontal="center" vertical="center"/>
    </xf>
    <xf numFmtId="181" fontId="0" fillId="2" borderId="1" xfId="0" applyNumberFormat="1" applyFill="1" applyBorder="1" applyAlignment="1">
      <alignment horizontal="center" vertical="center"/>
    </xf>
    <xf numFmtId="38" fontId="0" fillId="0" borderId="0" xfId="1" applyFont="1" applyBorder="1">
      <alignment vertical="center"/>
    </xf>
    <xf numFmtId="0" fontId="0" fillId="0" borderId="21" xfId="0" applyBorder="1">
      <alignment vertical="center"/>
    </xf>
    <xf numFmtId="0" fontId="0" fillId="0" borderId="42" xfId="0" applyBorder="1">
      <alignment vertical="center"/>
    </xf>
    <xf numFmtId="0" fontId="0" fillId="2" borderId="4" xfId="0" applyFill="1" applyBorder="1" applyAlignment="1">
      <alignment horizontal="center" vertical="center"/>
    </xf>
    <xf numFmtId="0" fontId="11" fillId="0" borderId="0" xfId="2" applyFont="1"/>
    <xf numFmtId="0" fontId="11" fillId="0" borderId="14" xfId="2" applyFont="1" applyBorder="1" applyAlignment="1">
      <alignment vertical="center"/>
    </xf>
    <xf numFmtId="0" fontId="11" fillId="0" borderId="0" xfId="2" applyFont="1" applyAlignment="1">
      <alignment horizontal="left" vertical="center"/>
    </xf>
    <xf numFmtId="0" fontId="11" fillId="0" borderId="0" xfId="2" applyFont="1" applyAlignment="1">
      <alignment vertical="center"/>
    </xf>
    <xf numFmtId="0" fontId="11" fillId="0" borderId="16" xfId="2" applyFont="1" applyBorder="1" applyAlignment="1">
      <alignment vertical="center"/>
    </xf>
    <xf numFmtId="0" fontId="11" fillId="0" borderId="43" xfId="2" applyFont="1" applyBorder="1" applyAlignment="1">
      <alignment horizontal="distributed" vertical="center" indent="1"/>
    </xf>
    <xf numFmtId="184" fontId="14" fillId="0" borderId="0" xfId="3" applyNumberFormat="1" applyFont="1" applyBorder="1" applyAlignment="1"/>
    <xf numFmtId="0" fontId="14" fillId="0" borderId="0" xfId="2" applyFont="1"/>
    <xf numFmtId="0" fontId="11" fillId="0" borderId="0" xfId="2" applyFont="1" applyAlignment="1">
      <alignment horizontal="distributed" vertical="center" indent="1"/>
    </xf>
    <xf numFmtId="184" fontId="11" fillId="0" borderId="0" xfId="3" applyNumberFormat="1" applyFont="1" applyBorder="1" applyAlignment="1">
      <alignment vertical="center"/>
    </xf>
    <xf numFmtId="0" fontId="11" fillId="0" borderId="2" xfId="2" applyFont="1" applyBorder="1" applyAlignment="1">
      <alignment vertical="center"/>
    </xf>
    <xf numFmtId="0" fontId="11" fillId="0" borderId="4" xfId="2" applyFont="1" applyBorder="1" applyAlignment="1">
      <alignment horizontal="distributed" vertical="center" indent="1"/>
    </xf>
    <xf numFmtId="183" fontId="11" fillId="0" borderId="11" xfId="3" applyNumberFormat="1" applyFont="1" applyBorder="1" applyAlignment="1" applyProtection="1">
      <alignment vertical="center"/>
    </xf>
    <xf numFmtId="0" fontId="11" fillId="0" borderId="0" xfId="2" applyFont="1" applyAlignment="1">
      <alignment horizontal="left" indent="1"/>
    </xf>
    <xf numFmtId="0" fontId="11" fillId="0" borderId="1" xfId="2" applyFont="1" applyBorder="1" applyAlignment="1">
      <alignment horizontal="center" vertical="center" shrinkToFit="1"/>
    </xf>
    <xf numFmtId="0" fontId="11" fillId="0" borderId="5" xfId="2" applyFont="1" applyBorder="1" applyAlignment="1">
      <alignment horizontal="center" vertical="center"/>
    </xf>
    <xf numFmtId="0" fontId="11" fillId="0" borderId="48" xfId="2" applyFont="1" applyBorder="1" applyAlignment="1">
      <alignment horizontal="center" vertical="center"/>
    </xf>
    <xf numFmtId="0" fontId="11" fillId="0" borderId="48" xfId="2" applyFont="1" applyBorder="1" applyAlignment="1">
      <alignment vertical="center" shrinkToFit="1"/>
    </xf>
    <xf numFmtId="185" fontId="11" fillId="0" borderId="49" xfId="2" applyNumberFormat="1" applyFont="1" applyBorder="1" applyAlignment="1">
      <alignment horizontal="center" vertical="center"/>
    </xf>
    <xf numFmtId="182" fontId="11" fillId="0" borderId="50" xfId="2" applyNumberFormat="1" applyFont="1" applyBorder="1" applyAlignment="1">
      <alignment horizontal="center" vertical="center"/>
    </xf>
    <xf numFmtId="0" fontId="11" fillId="0" borderId="48" xfId="2" applyFont="1" applyBorder="1" applyAlignment="1">
      <alignment vertical="center"/>
    </xf>
    <xf numFmtId="38" fontId="11" fillId="0" borderId="48" xfId="4" applyFont="1" applyBorder="1" applyAlignment="1" applyProtection="1">
      <alignment vertical="center"/>
    </xf>
    <xf numFmtId="38" fontId="11" fillId="0" borderId="48" xfId="4" applyFont="1" applyBorder="1" applyAlignment="1">
      <alignment vertical="center"/>
    </xf>
    <xf numFmtId="38" fontId="11" fillId="0" borderId="9" xfId="4" applyFont="1" applyBorder="1" applyAlignment="1" applyProtection="1">
      <alignment vertical="center"/>
    </xf>
    <xf numFmtId="0" fontId="11" fillId="0" borderId="0" xfId="2" applyFont="1" applyAlignment="1" applyProtection="1">
      <alignment vertical="center" shrinkToFit="1"/>
      <protection locked="0"/>
    </xf>
    <xf numFmtId="185" fontId="11" fillId="0" borderId="0" xfId="2" applyNumberFormat="1" applyFont="1" applyAlignment="1" applyProtection="1">
      <alignment horizontal="center" vertical="center"/>
      <protection locked="0"/>
    </xf>
    <xf numFmtId="182" fontId="11" fillId="0" borderId="0" xfId="2" applyNumberFormat="1" applyFont="1" applyAlignment="1">
      <alignment horizontal="center" vertical="center"/>
    </xf>
    <xf numFmtId="177" fontId="11" fillId="0" borderId="0" xfId="2" applyNumberFormat="1" applyFont="1" applyAlignment="1" applyProtection="1">
      <alignment horizontal="center" vertical="center"/>
      <protection locked="0"/>
    </xf>
    <xf numFmtId="0" fontId="11" fillId="0" borderId="2" xfId="2" applyFont="1" applyBorder="1" applyAlignment="1">
      <alignment horizontal="center" vertical="center"/>
    </xf>
    <xf numFmtId="177" fontId="11" fillId="0" borderId="3" xfId="2" applyNumberFormat="1" applyFont="1" applyBorder="1" applyAlignment="1" applyProtection="1">
      <alignment horizontal="center" vertical="center"/>
      <protection locked="0"/>
    </xf>
    <xf numFmtId="0" fontId="11" fillId="0" borderId="3" xfId="2" applyFont="1" applyBorder="1" applyAlignment="1" applyProtection="1">
      <alignment horizontal="center" vertical="center"/>
      <protection locked="0"/>
    </xf>
    <xf numFmtId="38" fontId="11" fillId="0" borderId="4" xfId="4" applyFont="1" applyBorder="1" applyAlignment="1" applyProtection="1">
      <alignment vertical="center"/>
      <protection locked="0"/>
    </xf>
    <xf numFmtId="38" fontId="11" fillId="0" borderId="1" xfId="4" applyFont="1" applyBorder="1" applyAlignment="1" applyProtection="1">
      <alignment vertical="center"/>
    </xf>
    <xf numFmtId="0" fontId="11" fillId="0" borderId="0" xfId="2" applyFont="1" applyAlignment="1">
      <alignment horizontal="left" vertical="center" indent="1"/>
    </xf>
    <xf numFmtId="0" fontId="11" fillId="0" borderId="20" xfId="2" applyFont="1" applyBorder="1" applyAlignment="1" applyProtection="1">
      <alignment vertical="center" shrinkToFit="1"/>
      <protection locked="0"/>
    </xf>
    <xf numFmtId="0" fontId="11" fillId="0" borderId="39" xfId="2" applyFont="1" applyBorder="1" applyAlignment="1" applyProtection="1">
      <alignment vertical="center"/>
      <protection locked="0"/>
    </xf>
    <xf numFmtId="0" fontId="11" fillId="0" borderId="21" xfId="2" applyFont="1" applyBorder="1" applyAlignment="1" applyProtection="1">
      <alignment vertical="center"/>
      <protection locked="0"/>
    </xf>
    <xf numFmtId="0" fontId="11" fillId="0" borderId="13" xfId="2" applyFont="1" applyBorder="1" applyAlignment="1">
      <alignment horizontal="center" vertical="center"/>
    </xf>
    <xf numFmtId="177" fontId="11" fillId="0" borderId="14" xfId="2" applyNumberFormat="1" applyFont="1" applyBorder="1" applyAlignment="1" applyProtection="1">
      <alignment horizontal="left" vertical="center"/>
      <protection locked="0"/>
    </xf>
    <xf numFmtId="0" fontId="11" fillId="0" borderId="14" xfId="2" applyFont="1" applyBorder="1" applyAlignment="1" applyProtection="1">
      <alignment horizontal="left" vertical="center" indent="2"/>
      <protection locked="0"/>
    </xf>
    <xf numFmtId="9" fontId="11" fillId="0" borderId="15" xfId="4" applyNumberFormat="1" applyFont="1" applyBorder="1" applyAlignment="1" applyProtection="1">
      <alignment horizontal="center" vertical="center"/>
      <protection locked="0"/>
    </xf>
    <xf numFmtId="0" fontId="11" fillId="0" borderId="37" xfId="2" applyFont="1" applyBorder="1"/>
    <xf numFmtId="0" fontId="11" fillId="0" borderId="0" xfId="2" applyFont="1" applyAlignment="1" applyProtection="1">
      <alignment vertical="center"/>
      <protection locked="0"/>
    </xf>
    <xf numFmtId="0" fontId="11" fillId="0" borderId="38" xfId="2" applyFont="1" applyBorder="1" applyAlignment="1" applyProtection="1">
      <alignment vertical="center"/>
      <protection locked="0"/>
    </xf>
    <xf numFmtId="0" fontId="11" fillId="0" borderId="13" xfId="2" applyFont="1" applyBorder="1" applyAlignment="1">
      <alignment vertical="center"/>
    </xf>
    <xf numFmtId="0" fontId="11" fillId="0" borderId="14" xfId="2" applyFont="1" applyBorder="1" applyAlignment="1">
      <alignment horizontal="left" vertical="center"/>
    </xf>
    <xf numFmtId="0" fontId="11" fillId="0" borderId="14" xfId="2" applyFont="1" applyBorder="1" applyAlignment="1">
      <alignment horizontal="left" vertical="center" indent="2"/>
    </xf>
    <xf numFmtId="9" fontId="11" fillId="0" borderId="15" xfId="2" applyNumberFormat="1" applyFont="1" applyBorder="1" applyAlignment="1">
      <alignment horizontal="center" vertical="center"/>
    </xf>
    <xf numFmtId="0" fontId="11" fillId="0" borderId="40" xfId="2" applyFont="1" applyBorder="1"/>
    <xf numFmtId="0" fontId="11" fillId="0" borderId="41" xfId="2" applyFont="1" applyBorder="1"/>
    <xf numFmtId="0" fontId="11" fillId="0" borderId="42" xfId="2" applyFont="1" applyBorder="1"/>
    <xf numFmtId="0" fontId="11" fillId="0" borderId="0" xfId="2" applyFont="1" applyAlignment="1">
      <alignment horizontal="center" vertical="center"/>
    </xf>
    <xf numFmtId="0" fontId="15" fillId="0" borderId="0" xfId="2" applyFont="1" applyAlignment="1">
      <alignment horizontal="right" vertical="top"/>
    </xf>
    <xf numFmtId="0" fontId="11" fillId="0" borderId="14" xfId="2" applyFont="1" applyBorder="1"/>
    <xf numFmtId="0" fontId="11" fillId="0" borderId="11" xfId="2" applyFont="1" applyBorder="1" applyAlignment="1">
      <alignment horizontal="center"/>
    </xf>
    <xf numFmtId="0" fontId="15" fillId="0" borderId="0" xfId="2" applyFont="1"/>
    <xf numFmtId="49" fontId="11" fillId="0" borderId="0" xfId="2" applyNumberFormat="1" applyFont="1" applyAlignment="1">
      <alignment vertical="center"/>
    </xf>
    <xf numFmtId="0" fontId="11" fillId="0" borderId="12" xfId="2" applyFont="1" applyBorder="1"/>
    <xf numFmtId="0" fontId="11" fillId="0" borderId="13" xfId="2" applyFont="1" applyBorder="1" applyAlignment="1">
      <alignment horizontal="center"/>
    </xf>
    <xf numFmtId="0" fontId="15" fillId="0" borderId="14" xfId="2" applyFont="1" applyBorder="1"/>
    <xf numFmtId="0" fontId="11" fillId="0" borderId="14" xfId="2" applyFont="1" applyBorder="1" applyAlignment="1">
      <alignment horizontal="center" vertical="center"/>
    </xf>
    <xf numFmtId="0" fontId="11" fillId="0" borderId="15" xfId="2" applyFont="1" applyBorder="1" applyAlignment="1">
      <alignment horizontal="right"/>
    </xf>
    <xf numFmtId="0" fontId="0" fillId="0" borderId="54" xfId="0" applyBorder="1" applyAlignment="1">
      <alignment horizontal="distributed" vertical="center" indent="1"/>
    </xf>
    <xf numFmtId="0" fontId="0" fillId="0" borderId="55" xfId="0" applyBorder="1" applyAlignment="1">
      <alignment horizontal="distributed" vertical="center" indent="1"/>
    </xf>
    <xf numFmtId="14" fontId="0" fillId="0" borderId="0" xfId="0" applyNumberFormat="1">
      <alignment vertical="center"/>
    </xf>
    <xf numFmtId="179" fontId="0" fillId="0" borderId="3" xfId="0" applyNumberFormat="1" applyBorder="1" applyAlignment="1" applyProtection="1">
      <alignment horizontal="center" vertical="center"/>
      <protection locked="0"/>
    </xf>
    <xf numFmtId="179" fontId="0" fillId="0" borderId="2" xfId="0" applyNumberFormat="1" applyBorder="1" applyProtection="1">
      <alignment vertical="center"/>
      <protection locked="0"/>
    </xf>
    <xf numFmtId="0" fontId="0" fillId="0" borderId="0" xfId="0" applyAlignment="1">
      <alignment horizontal="distributed" vertical="center" indent="1"/>
    </xf>
    <xf numFmtId="179" fontId="0" fillId="0" borderId="3" xfId="0" applyNumberFormat="1" applyBorder="1" applyAlignment="1" applyProtection="1">
      <alignment horizontal="left" vertical="center"/>
      <protection locked="0"/>
    </xf>
    <xf numFmtId="0" fontId="0" fillId="0" borderId="52" xfId="0" applyBorder="1" applyAlignment="1">
      <alignment horizontal="distributed" vertical="center" indent="1"/>
    </xf>
    <xf numFmtId="176" fontId="0" fillId="0" borderId="23" xfId="0" applyNumberFormat="1" applyBorder="1" applyAlignment="1" applyProtection="1">
      <alignment horizontal="left" vertical="center" indent="1"/>
      <protection locked="0"/>
    </xf>
    <xf numFmtId="0" fontId="0" fillId="0" borderId="3" xfId="0" applyBorder="1" applyAlignment="1" applyProtection="1">
      <alignment horizontal="right" vertical="center" indent="1"/>
      <protection locked="0"/>
    </xf>
    <xf numFmtId="186" fontId="6" fillId="3" borderId="19" xfId="0" applyNumberFormat="1" applyFont="1" applyFill="1" applyBorder="1">
      <alignment vertical="center"/>
    </xf>
    <xf numFmtId="0" fontId="6" fillId="3" borderId="19" xfId="0" applyFont="1" applyFill="1" applyBorder="1" applyAlignment="1">
      <alignment horizontal="center" vertical="center"/>
    </xf>
    <xf numFmtId="178" fontId="0" fillId="3" borderId="3" xfId="0" applyNumberFormat="1" applyFill="1" applyBorder="1" applyAlignment="1" applyProtection="1">
      <alignment horizontal="right" vertical="center" indent="1"/>
      <protection locked="0"/>
    </xf>
    <xf numFmtId="179" fontId="0" fillId="3" borderId="2" xfId="0" applyNumberFormat="1" applyFill="1" applyBorder="1" applyProtection="1">
      <alignment vertical="center"/>
      <protection locked="0"/>
    </xf>
    <xf numFmtId="0" fontId="0" fillId="0" borderId="20" xfId="0" applyBorder="1">
      <alignment vertical="center"/>
    </xf>
    <xf numFmtId="0" fontId="0" fillId="0" borderId="39" xfId="0" applyBorder="1">
      <alignment vertical="center"/>
    </xf>
    <xf numFmtId="0" fontId="0" fillId="0" borderId="38" xfId="0" applyBorder="1">
      <alignment vertical="center"/>
    </xf>
    <xf numFmtId="0" fontId="0" fillId="0" borderId="37" xfId="0" applyBorder="1">
      <alignment vertical="center"/>
    </xf>
    <xf numFmtId="0" fontId="5" fillId="0" borderId="38" xfId="0" applyFont="1" applyBorder="1">
      <alignment vertical="center"/>
    </xf>
    <xf numFmtId="0" fontId="0" fillId="0" borderId="40" xfId="0" applyBorder="1">
      <alignment vertical="center"/>
    </xf>
    <xf numFmtId="0" fontId="0" fillId="0" borderId="41" xfId="0" applyBorder="1">
      <alignment vertical="center"/>
    </xf>
    <xf numFmtId="0" fontId="5" fillId="0" borderId="0" xfId="0" applyFont="1">
      <alignment vertical="center"/>
    </xf>
    <xf numFmtId="0" fontId="0" fillId="0" borderId="56" xfId="0" applyBorder="1" applyAlignment="1">
      <alignment horizontal="center" vertical="center" shrinkToFit="1"/>
    </xf>
    <xf numFmtId="0" fontId="0" fillId="0" borderId="57" xfId="0" applyBorder="1" applyAlignment="1">
      <alignment horizontal="center" vertical="center"/>
    </xf>
    <xf numFmtId="0" fontId="0" fillId="0" borderId="58" xfId="0" applyBorder="1" applyAlignment="1">
      <alignment horizontal="center" vertical="center"/>
    </xf>
    <xf numFmtId="0" fontId="17" fillId="0" borderId="0" xfId="0" applyFont="1" applyAlignment="1">
      <alignment horizontal="left" vertical="center"/>
    </xf>
    <xf numFmtId="0" fontId="0" fillId="0" borderId="4" xfId="0" applyBorder="1">
      <alignment vertical="center"/>
    </xf>
    <xf numFmtId="187" fontId="0" fillId="0" borderId="1" xfId="0" applyNumberFormat="1" applyBorder="1">
      <alignment vertical="center"/>
    </xf>
    <xf numFmtId="0" fontId="0" fillId="0" borderId="5" xfId="0" applyBorder="1">
      <alignment vertical="center"/>
    </xf>
    <xf numFmtId="187" fontId="0" fillId="0" borderId="5" xfId="0" applyNumberFormat="1" applyBorder="1">
      <alignment vertical="center"/>
    </xf>
    <xf numFmtId="0" fontId="0" fillId="0" borderId="59" xfId="0" applyBorder="1" applyAlignment="1">
      <alignment horizontal="center" vertical="center"/>
    </xf>
    <xf numFmtId="187" fontId="0" fillId="0" borderId="60" xfId="0" applyNumberFormat="1" applyBorder="1">
      <alignment vertical="center"/>
    </xf>
    <xf numFmtId="188" fontId="4" fillId="0" borderId="7" xfId="0" applyNumberFormat="1" applyFont="1" applyBorder="1" applyAlignment="1">
      <alignment vertical="center" wrapText="1"/>
    </xf>
    <xf numFmtId="188" fontId="4" fillId="0" borderId="8" xfId="0" applyNumberFormat="1" applyFont="1" applyBorder="1" applyAlignment="1">
      <alignment vertical="center" wrapText="1"/>
    </xf>
    <xf numFmtId="189" fontId="4" fillId="0" borderId="6" xfId="0" applyNumberFormat="1" applyFont="1" applyBorder="1" applyAlignment="1">
      <alignment vertical="center" wrapText="1"/>
    </xf>
    <xf numFmtId="189" fontId="4" fillId="0" borderId="7" xfId="0" applyNumberFormat="1" applyFont="1" applyBorder="1" applyAlignment="1">
      <alignment vertical="center" wrapText="1"/>
    </xf>
    <xf numFmtId="0" fontId="4" fillId="0" borderId="11" xfId="0" applyFont="1" applyBorder="1" applyAlignment="1">
      <alignment vertical="center" wrapText="1"/>
    </xf>
    <xf numFmtId="0" fontId="4" fillId="0" borderId="0" xfId="0" applyFont="1" applyAlignment="1">
      <alignment vertical="center" wrapText="1"/>
    </xf>
    <xf numFmtId="0" fontId="4" fillId="0" borderId="12" xfId="0" applyFont="1" applyBorder="1" applyAlignment="1">
      <alignment vertical="center" wrapText="1"/>
    </xf>
    <xf numFmtId="0" fontId="4" fillId="0" borderId="1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11" fillId="0" borderId="3" xfId="2" applyFont="1" applyBorder="1" applyAlignment="1">
      <alignment horizontal="distributed" vertical="center" indent="1"/>
    </xf>
    <xf numFmtId="0" fontId="11" fillId="0" borderId="4" xfId="2" applyFont="1" applyBorder="1" applyAlignment="1" applyProtection="1">
      <alignment vertical="center"/>
      <protection locked="0"/>
    </xf>
    <xf numFmtId="38" fontId="0" fillId="0" borderId="3" xfId="1" applyFont="1" applyBorder="1">
      <alignment vertical="center"/>
    </xf>
    <xf numFmtId="38" fontId="0" fillId="0" borderId="16" xfId="0" applyNumberFormat="1" applyBorder="1">
      <alignment vertical="center"/>
    </xf>
    <xf numFmtId="0" fontId="0" fillId="0" borderId="18" xfId="0" applyBorder="1">
      <alignment vertical="center"/>
    </xf>
    <xf numFmtId="0" fontId="0" fillId="0" borderId="12" xfId="0" applyBorder="1" applyAlignment="1">
      <alignment horizontal="center" vertical="center"/>
    </xf>
    <xf numFmtId="0" fontId="0" fillId="0" borderId="27" xfId="0" applyBorder="1" applyAlignment="1">
      <alignment horizontal="center" vertical="center"/>
    </xf>
    <xf numFmtId="187" fontId="0" fillId="0" borderId="0" xfId="0" applyNumberFormat="1">
      <alignment vertical="center"/>
    </xf>
    <xf numFmtId="0" fontId="0" fillId="0" borderId="19" xfId="0" applyBorder="1" applyAlignment="1">
      <alignment horizontal="center" vertical="center"/>
    </xf>
    <xf numFmtId="0" fontId="6" fillId="4" borderId="19" xfId="0" applyFont="1" applyFill="1" applyBorder="1" applyAlignment="1">
      <alignment horizontal="center" vertical="center"/>
    </xf>
    <xf numFmtId="0" fontId="9" fillId="0" borderId="12" xfId="0" applyFont="1" applyBorder="1" applyAlignment="1">
      <alignment horizontal="center" vertical="center"/>
    </xf>
    <xf numFmtId="0" fontId="0" fillId="0" borderId="61" xfId="0" applyBorder="1" applyAlignment="1">
      <alignment horizontal="center" vertical="center"/>
    </xf>
    <xf numFmtId="178" fontId="6" fillId="3" borderId="62" xfId="0" applyNumberFormat="1" applyFont="1" applyFill="1" applyBorder="1" applyAlignment="1" applyProtection="1">
      <alignment horizontal="center" vertical="center"/>
      <protection locked="0"/>
    </xf>
    <xf numFmtId="177" fontId="19" fillId="0" borderId="40" xfId="0" applyNumberFormat="1" applyFont="1" applyBorder="1" applyAlignment="1">
      <alignment vertical="center" wrapText="1" shrinkToFit="1"/>
    </xf>
    <xf numFmtId="186" fontId="9" fillId="5" borderId="10" xfId="0" applyNumberFormat="1" applyFont="1" applyFill="1" applyBorder="1" applyAlignment="1">
      <alignment horizontal="center" vertical="center"/>
    </xf>
    <xf numFmtId="186" fontId="9" fillId="5" borderId="1" xfId="0" applyNumberFormat="1" applyFont="1" applyFill="1" applyBorder="1" applyAlignment="1">
      <alignment horizontal="center" vertical="center"/>
    </xf>
    <xf numFmtId="0" fontId="9" fillId="5" borderId="12" xfId="0" applyFont="1" applyFill="1" applyBorder="1" applyAlignment="1">
      <alignment horizontal="center" vertical="center"/>
    </xf>
    <xf numFmtId="0" fontId="0" fillId="5" borderId="4" xfId="0" applyFill="1" applyBorder="1" applyAlignment="1">
      <alignment horizontal="center" vertical="center"/>
    </xf>
    <xf numFmtId="0" fontId="0" fillId="5" borderId="12" xfId="0" applyFill="1" applyBorder="1" applyAlignment="1">
      <alignment horizontal="center" vertical="center"/>
    </xf>
    <xf numFmtId="0" fontId="0" fillId="0" borderId="59" xfId="0" applyBorder="1" applyAlignment="1">
      <alignment horizontal="center" vertical="center" wrapText="1"/>
    </xf>
    <xf numFmtId="0" fontId="0" fillId="0" borderId="55" xfId="0" applyBorder="1" applyAlignment="1">
      <alignment horizontal="distributed" vertical="center" wrapText="1" inden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11"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0" fillId="0" borderId="11" xfId="0" applyBorder="1" applyAlignment="1">
      <alignment vertical="top" wrapText="1"/>
    </xf>
    <xf numFmtId="0" fontId="0" fillId="0" borderId="0" xfId="0" applyAlignment="1">
      <alignment vertical="top" wrapText="1"/>
    </xf>
    <xf numFmtId="0" fontId="0" fillId="0" borderId="12" xfId="0" applyBorder="1" applyAlignment="1">
      <alignment vertical="top" wrapText="1"/>
    </xf>
    <xf numFmtId="14" fontId="0" fillId="3" borderId="31" xfId="0" applyNumberFormat="1" applyFill="1" applyBorder="1" applyAlignment="1">
      <alignment horizontal="center" vertical="center"/>
    </xf>
    <xf numFmtId="0" fontId="0" fillId="3" borderId="31" xfId="0" applyFill="1" applyBorder="1" applyAlignment="1">
      <alignment horizontal="center" vertical="center"/>
    </xf>
    <xf numFmtId="0" fontId="0" fillId="3" borderId="53" xfId="0" applyFill="1" applyBorder="1" applyAlignment="1">
      <alignment horizontal="center" vertical="center"/>
    </xf>
    <xf numFmtId="0" fontId="0" fillId="0" borderId="33" xfId="0" applyBorder="1" applyAlignment="1">
      <alignment horizontal="center" vertical="center"/>
    </xf>
    <xf numFmtId="0" fontId="0" fillId="0" borderId="27" xfId="0" applyBorder="1" applyAlignment="1">
      <alignment horizontal="center" vertical="center"/>
    </xf>
    <xf numFmtId="0" fontId="0" fillId="3" borderId="2"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0" fillId="3" borderId="23" xfId="0" applyFill="1" applyBorder="1" applyAlignment="1" applyProtection="1">
      <alignment horizontal="center" vertical="center"/>
      <protection locked="0"/>
    </xf>
    <xf numFmtId="0" fontId="0" fillId="3" borderId="34" xfId="0" applyFill="1" applyBorder="1" applyAlignment="1" applyProtection="1">
      <alignment horizontal="left" vertical="center" indent="1"/>
      <protection locked="0"/>
    </xf>
    <xf numFmtId="0" fontId="0" fillId="3" borderId="35" xfId="0" applyFill="1" applyBorder="1" applyAlignment="1" applyProtection="1">
      <alignment horizontal="left" vertical="center" indent="1"/>
      <protection locked="0"/>
    </xf>
    <xf numFmtId="0" fontId="0" fillId="3" borderId="24" xfId="0" applyFill="1" applyBorder="1" applyAlignment="1" applyProtection="1">
      <alignment horizontal="left" vertical="center" indent="1"/>
      <protection locked="0"/>
    </xf>
    <xf numFmtId="176" fontId="0" fillId="3" borderId="2" xfId="0" applyNumberFormat="1" applyFill="1" applyBorder="1" applyAlignment="1" applyProtection="1">
      <alignment horizontal="left" vertical="center" indent="1"/>
      <protection locked="0"/>
    </xf>
    <xf numFmtId="176" fontId="0" fillId="3" borderId="3" xfId="0" applyNumberFormat="1" applyFill="1" applyBorder="1" applyAlignment="1" applyProtection="1">
      <alignment horizontal="left" vertical="center" indent="1"/>
      <protection locked="0"/>
    </xf>
    <xf numFmtId="176" fontId="0" fillId="3" borderId="23" xfId="0" applyNumberFormat="1" applyFill="1" applyBorder="1" applyAlignment="1" applyProtection="1">
      <alignment horizontal="left" vertical="center" indent="1"/>
      <protection locked="0"/>
    </xf>
    <xf numFmtId="0" fontId="0" fillId="3" borderId="2" xfId="0" applyFill="1" applyBorder="1" applyAlignment="1" applyProtection="1">
      <alignment horizontal="center" vertical="center" wrapText="1"/>
      <protection locked="0"/>
    </xf>
    <xf numFmtId="0" fontId="0" fillId="3" borderId="34" xfId="0" applyFill="1" applyBorder="1" applyAlignment="1" applyProtection="1">
      <alignment horizontal="center" vertical="center"/>
      <protection locked="0"/>
    </xf>
    <xf numFmtId="0" fontId="0" fillId="3" borderId="35" xfId="0"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0" fontId="0" fillId="3" borderId="28" xfId="0" applyFill="1" applyBorder="1" applyAlignment="1" applyProtection="1">
      <alignment horizontal="left" vertical="center" indent="1"/>
      <protection locked="0"/>
    </xf>
    <xf numFmtId="0" fontId="0" fillId="3" borderId="29" xfId="0" applyFill="1" applyBorder="1" applyAlignment="1" applyProtection="1">
      <alignment horizontal="left" vertical="center" indent="1"/>
      <protection locked="0"/>
    </xf>
    <xf numFmtId="0" fontId="0" fillId="3" borderId="22" xfId="0" applyFill="1" applyBorder="1" applyAlignment="1" applyProtection="1">
      <alignment horizontal="left" vertical="center" indent="1"/>
      <protection locked="0"/>
    </xf>
    <xf numFmtId="186" fontId="11" fillId="0" borderId="2" xfId="2" applyNumberFormat="1" applyFont="1" applyBorder="1" applyAlignment="1" applyProtection="1">
      <alignment horizontal="center" vertical="center"/>
      <protection locked="0"/>
    </xf>
    <xf numFmtId="186" fontId="11" fillId="0" borderId="3" xfId="2" applyNumberFormat="1" applyFont="1" applyBorder="1" applyAlignment="1" applyProtection="1">
      <alignment horizontal="center" vertical="center"/>
      <protection locked="0"/>
    </xf>
    <xf numFmtId="0" fontId="11" fillId="0" borderId="3" xfId="2" applyFont="1" applyBorder="1" applyAlignment="1" applyProtection="1">
      <alignment horizontal="center" vertical="center"/>
      <protection locked="0"/>
    </xf>
    <xf numFmtId="0" fontId="11" fillId="0" borderId="45" xfId="2" applyFont="1" applyBorder="1" applyAlignment="1">
      <alignment horizontal="center" vertical="center" shrinkToFit="1"/>
    </xf>
    <xf numFmtId="0" fontId="11" fillId="0" borderId="46" xfId="2" applyFont="1" applyBorder="1" applyAlignment="1">
      <alignment horizontal="center" vertical="center" shrinkToFit="1"/>
    </xf>
    <xf numFmtId="0" fontId="11" fillId="0" borderId="47" xfId="2" applyFont="1" applyBorder="1" applyAlignment="1">
      <alignment horizontal="center" vertical="center" shrinkToFit="1"/>
    </xf>
    <xf numFmtId="179" fontId="11" fillId="0" borderId="0" xfId="2" applyNumberFormat="1" applyFont="1" applyAlignment="1" applyProtection="1">
      <alignment horizontal="right"/>
      <protection locked="0"/>
    </xf>
    <xf numFmtId="0" fontId="12" fillId="0" borderId="0" xfId="2" applyFont="1" applyAlignment="1">
      <alignment horizontal="center" vertical="top"/>
    </xf>
    <xf numFmtId="0" fontId="11" fillId="0" borderId="14" xfId="2" applyFont="1" applyBorder="1" applyAlignment="1">
      <alignment horizontal="left" vertical="center"/>
    </xf>
    <xf numFmtId="184" fontId="11" fillId="0" borderId="44" xfId="3" applyNumberFormat="1" applyFont="1" applyBorder="1" applyAlignment="1">
      <alignment horizontal="right" vertical="center"/>
    </xf>
    <xf numFmtId="184" fontId="11" fillId="0" borderId="17" xfId="3" applyNumberFormat="1" applyFont="1" applyBorder="1" applyAlignment="1">
      <alignment horizontal="right" vertical="center"/>
    </xf>
    <xf numFmtId="184" fontId="11" fillId="0" borderId="18" xfId="3" applyNumberFormat="1" applyFont="1" applyBorder="1" applyAlignment="1">
      <alignment horizontal="right" vertical="center"/>
    </xf>
    <xf numFmtId="183" fontId="11" fillId="0" borderId="2" xfId="3" applyNumberFormat="1" applyFont="1" applyBorder="1" applyAlignment="1" applyProtection="1">
      <alignment horizontal="right" vertical="center"/>
    </xf>
    <xf numFmtId="183" fontId="11" fillId="0" borderId="3" xfId="3" applyNumberFormat="1" applyFont="1" applyBorder="1" applyAlignment="1" applyProtection="1">
      <alignment horizontal="right" vertical="center"/>
    </xf>
    <xf numFmtId="183" fontId="11" fillId="0" borderId="4" xfId="3" applyNumberFormat="1" applyFont="1" applyBorder="1" applyAlignment="1" applyProtection="1">
      <alignment horizontal="right" vertical="center"/>
    </xf>
    <xf numFmtId="177" fontId="11" fillId="0" borderId="49" xfId="2" applyNumberFormat="1" applyFont="1" applyBorder="1" applyAlignment="1">
      <alignment horizontal="center" vertical="center"/>
    </xf>
    <xf numFmtId="177" fontId="11" fillId="0" borderId="51" xfId="2" applyNumberFormat="1" applyFont="1" applyBorder="1" applyAlignment="1">
      <alignment horizontal="center" vertical="center"/>
    </xf>
    <xf numFmtId="177" fontId="11" fillId="0" borderId="50" xfId="2" applyNumberFormat="1" applyFont="1" applyBorder="1" applyAlignment="1">
      <alignment horizontal="center" vertical="center"/>
    </xf>
    <xf numFmtId="0" fontId="11" fillId="0" borderId="9" xfId="2" applyFont="1" applyBorder="1" applyAlignment="1">
      <alignment horizontal="left" vertical="center" indent="1"/>
    </xf>
    <xf numFmtId="0" fontId="11" fillId="0" borderId="2" xfId="2" applyFont="1" applyBorder="1" applyAlignment="1">
      <alignment horizontal="center" vertical="center" shrinkToFit="1"/>
    </xf>
    <xf numFmtId="0" fontId="11" fillId="0" borderId="4" xfId="2" applyFont="1" applyBorder="1" applyAlignment="1">
      <alignment horizontal="center" vertical="center" shrinkToFit="1"/>
    </xf>
    <xf numFmtId="0" fontId="11" fillId="0" borderId="3" xfId="2" applyFont="1" applyBorder="1" applyAlignment="1">
      <alignment horizontal="center" vertical="center" shrinkToFi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horizontal="center" vertical="center" wrapText="1"/>
    </xf>
    <xf numFmtId="14" fontId="4" fillId="0" borderId="0" xfId="0" applyNumberFormat="1"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9" xfId="0" applyFont="1" applyBorder="1" applyAlignment="1">
      <alignment horizontal="center" vertical="center"/>
    </xf>
    <xf numFmtId="186" fontId="4" fillId="0" borderId="7" xfId="0" applyNumberFormat="1" applyFont="1" applyBorder="1" applyAlignment="1">
      <alignment horizontal="center" vertical="center" wrapText="1"/>
    </xf>
    <xf numFmtId="189" fontId="4" fillId="0" borderId="7" xfId="0" applyNumberFormat="1" applyFont="1" applyBorder="1" applyAlignment="1">
      <alignment horizontal="center" vertical="center" wrapText="1"/>
    </xf>
    <xf numFmtId="186" fontId="4" fillId="0" borderId="0" xfId="0" applyNumberFormat="1" applyFont="1" applyAlignment="1">
      <alignment horizontal="center"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3" xfId="0" applyFont="1" applyBorder="1" applyAlignment="1">
      <alignment horizontal="right" vertical="center"/>
    </xf>
    <xf numFmtId="38" fontId="4" fillId="0" borderId="28" xfId="1" applyFont="1" applyBorder="1" applyAlignment="1">
      <alignment horizontal="right" vertical="center"/>
    </xf>
    <xf numFmtId="38" fontId="4" fillId="0" borderId="29" xfId="1" applyFont="1" applyBorder="1" applyAlignment="1">
      <alignment horizontal="right" vertical="center"/>
    </xf>
    <xf numFmtId="38" fontId="4" fillId="0" borderId="28" xfId="1" applyFont="1" applyBorder="1" applyAlignment="1">
      <alignment horizontal="right" vertical="center" wrapText="1"/>
    </xf>
    <xf numFmtId="38" fontId="4" fillId="0" borderId="29" xfId="1" applyFont="1" applyBorder="1" applyAlignment="1">
      <alignment horizontal="right" vertical="center" wrapText="1"/>
    </xf>
    <xf numFmtId="38" fontId="4" fillId="0" borderId="34" xfId="1" applyFont="1" applyBorder="1" applyAlignment="1">
      <alignment horizontal="right" vertical="center"/>
    </xf>
    <xf numFmtId="38" fontId="4" fillId="0" borderId="35" xfId="1" applyFont="1" applyBorder="1" applyAlignment="1">
      <alignment horizontal="right" vertical="center"/>
    </xf>
    <xf numFmtId="38" fontId="4" fillId="0" borderId="3" xfId="1" applyFont="1" applyBorder="1" applyAlignment="1">
      <alignment horizontal="right" vertical="center"/>
    </xf>
    <xf numFmtId="0" fontId="18" fillId="0" borderId="0" xfId="0" applyFont="1" applyAlignment="1">
      <alignment horizontal="left" vertical="center" wrapText="1"/>
    </xf>
    <xf numFmtId="0" fontId="18" fillId="0" borderId="0" xfId="0" applyFont="1" applyAlignment="1">
      <alignment horizontal="left" vertical="center"/>
    </xf>
    <xf numFmtId="0" fontId="0" fillId="3" borderId="44" xfId="0" applyFill="1" applyBorder="1" applyAlignment="1">
      <alignment horizontal="left" vertical="top"/>
    </xf>
    <xf numFmtId="0" fontId="0" fillId="3" borderId="17" xfId="0" applyFill="1" applyBorder="1" applyAlignment="1">
      <alignment horizontal="left" vertical="top"/>
    </xf>
    <xf numFmtId="0" fontId="0" fillId="3" borderId="18" xfId="0" applyFill="1" applyBorder="1" applyAlignment="1">
      <alignment horizontal="left" vertical="top"/>
    </xf>
  </cellXfs>
  <cellStyles count="5">
    <cellStyle name="桁区切り" xfId="1" builtinId="6"/>
    <cellStyle name="桁区切り 2" xfId="4" xr:uid="{CC273CDD-60C5-46A9-BD16-BF5451CFA269}"/>
    <cellStyle name="通貨 2" xfId="3" xr:uid="{F4E2AA1C-4AF5-4F44-A74C-2D033EB81533}"/>
    <cellStyle name="標準" xfId="0" builtinId="0"/>
    <cellStyle name="標準 2" xfId="2" xr:uid="{0F6B75B6-45EF-4E65-A9DA-1AB8891131D0}"/>
  </cellStyles>
  <dxfs count="43">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dxf>
    <dxf>
      <font>
        <color theme="0"/>
      </font>
    </dxf>
    <dxf>
      <font>
        <color theme="0"/>
      </font>
      <fill>
        <patternFill>
          <bgColor theme="0"/>
        </patternFill>
      </fill>
    </dxf>
    <dxf>
      <font>
        <color theme="0"/>
      </font>
      <fill>
        <patternFill>
          <bgColor theme="0"/>
        </patternFill>
      </fill>
    </dxf>
    <dxf>
      <font>
        <color theme="5"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7</xdr:col>
      <xdr:colOff>142132</xdr:colOff>
      <xdr:row>3</xdr:row>
      <xdr:rowOff>112688</xdr:rowOff>
    </xdr:from>
    <xdr:to>
      <xdr:col>11</xdr:col>
      <xdr:colOff>10795</xdr:colOff>
      <xdr:row>7</xdr:row>
      <xdr:rowOff>266700</xdr:rowOff>
    </xdr:to>
    <xdr:sp macro="" textlink="" fLocksText="0">
      <xdr:nvSpPr>
        <xdr:cNvPr id="3" name="テキスト ボックス 2">
          <a:extLst>
            <a:ext uri="{FF2B5EF4-FFF2-40B4-BE49-F238E27FC236}">
              <a16:creationId xmlns:a16="http://schemas.microsoft.com/office/drawing/2014/main" id="{DE6CE1D4-3B8D-4689-AB53-A833D69F834A}"/>
            </a:ext>
          </a:extLst>
        </xdr:cNvPr>
        <xdr:cNvSpPr txBox="1"/>
      </xdr:nvSpPr>
      <xdr:spPr>
        <a:xfrm>
          <a:off x="3691782" y="1001688"/>
          <a:ext cx="2326113" cy="1462112"/>
        </a:xfrm>
        <a:prstGeom prst="rect">
          <a:avLst/>
        </a:prstGeom>
        <a:noFill/>
        <a:ln w="63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dk1"/>
              </a:solidFill>
              <a:effectLst/>
              <a:latin typeface="+mn-lt"/>
              <a:ea typeface="+mn-ea"/>
              <a:cs typeface="+mn-cs"/>
            </a:rPr>
            <a:t>熊本県熊本市北区和泉町</a:t>
          </a:r>
          <a:r>
            <a:rPr kumimoji="1" lang="en-US" altLang="ja-JP" sz="1000">
              <a:solidFill>
                <a:schemeClr val="dk1"/>
              </a:solidFill>
              <a:effectLst/>
              <a:latin typeface="+mn-lt"/>
              <a:ea typeface="+mn-ea"/>
              <a:cs typeface="+mn-cs"/>
            </a:rPr>
            <a:t>189-24</a:t>
          </a:r>
          <a:endParaRPr lang="ja-JP" altLang="ja-JP" sz="1000">
            <a:effectLst/>
          </a:endParaRPr>
        </a:p>
        <a:p>
          <a:r>
            <a:rPr kumimoji="1" lang="ja-JP" altLang="en-US" sz="1000"/>
            <a:t>株式会社フードパル熊本</a:t>
          </a:r>
          <a:endParaRPr kumimoji="1" lang="en-US" altLang="ja-JP" sz="1000"/>
        </a:p>
        <a:p>
          <a:r>
            <a:rPr kumimoji="1" lang="ja-JP" altLang="en-US" sz="1000"/>
            <a:t>熊本市食品交流会館</a:t>
          </a:r>
          <a:r>
            <a:rPr kumimoji="1" lang="ja-JP" altLang="en-US" sz="1000" baseline="0"/>
            <a:t> </a:t>
          </a:r>
          <a:r>
            <a:rPr kumimoji="1" lang="ja-JP" altLang="en-US" sz="1000"/>
            <a:t>指定管理者</a:t>
          </a:r>
          <a:endParaRPr kumimoji="1" lang="en-US" altLang="ja-JP" sz="1000"/>
        </a:p>
        <a:p>
          <a:r>
            <a:rPr kumimoji="1" lang="ja-JP" altLang="en-US" sz="1000"/>
            <a:t>代表取締役　　毛利　浩一</a:t>
          </a:r>
          <a:endParaRPr kumimoji="1" lang="en-US" altLang="ja-JP" sz="10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dk1"/>
              </a:solidFill>
              <a:effectLst/>
              <a:latin typeface="+mn-lt"/>
              <a:ea typeface="+mn-ea"/>
              <a:cs typeface="+mn-cs"/>
            </a:rPr>
            <a:t>TEL</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096 - 245 - 5630 </a:t>
          </a:r>
          <a:r>
            <a:rPr kumimoji="1" lang="ja-JP" altLang="en-US" sz="900" baseline="0">
              <a:solidFill>
                <a:schemeClr val="dk1"/>
              </a:solidFill>
              <a:effectLst/>
              <a:latin typeface="+mn-lt"/>
              <a:ea typeface="+mn-ea"/>
              <a:cs typeface="+mn-cs"/>
            </a:rPr>
            <a:t>  </a:t>
          </a:r>
          <a:r>
            <a:rPr kumimoji="1" lang="en-US" altLang="ja-JP" sz="900">
              <a:solidFill>
                <a:schemeClr val="dk1"/>
              </a:solidFill>
              <a:effectLst/>
              <a:latin typeface="+mn-lt"/>
              <a:ea typeface="+mn-ea"/>
              <a:cs typeface="+mn-cs"/>
            </a:rPr>
            <a:t>FAX</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096 - 245 - 5575</a:t>
          </a:r>
          <a:endParaRPr lang="ja-JP" altLang="ja-JP" sz="1000">
            <a:effectLst/>
          </a:endParaRPr>
        </a:p>
        <a:p>
          <a:r>
            <a:rPr kumimoji="1" lang="ja-JP" altLang="en-US" sz="1000"/>
            <a:t>登録番号：</a:t>
          </a:r>
          <a:r>
            <a:rPr kumimoji="1" lang="en-US" altLang="ja-JP" sz="1000"/>
            <a:t>T7330001004010</a:t>
          </a:r>
        </a:p>
      </xdr:txBody>
    </xdr:sp>
    <xdr:clientData/>
  </xdr:twoCellAnchor>
  <xdr:twoCellAnchor editAs="absolute">
    <xdr:from>
      <xdr:col>2</xdr:col>
      <xdr:colOff>41841</xdr:colOff>
      <xdr:row>21</xdr:row>
      <xdr:rowOff>285274</xdr:rowOff>
    </xdr:from>
    <xdr:to>
      <xdr:col>5</xdr:col>
      <xdr:colOff>70259</xdr:colOff>
      <xdr:row>25</xdr:row>
      <xdr:rowOff>42879</xdr:rowOff>
    </xdr:to>
    <xdr:grpSp>
      <xdr:nvGrpSpPr>
        <xdr:cNvPr id="4" name="グループ化 3">
          <a:extLst>
            <a:ext uri="{FF2B5EF4-FFF2-40B4-BE49-F238E27FC236}">
              <a16:creationId xmlns:a16="http://schemas.microsoft.com/office/drawing/2014/main" id="{23402E2D-3F03-4BCF-A6A5-05250A47D487}"/>
            </a:ext>
          </a:extLst>
        </xdr:cNvPr>
        <xdr:cNvGrpSpPr/>
      </xdr:nvGrpSpPr>
      <xdr:grpSpPr>
        <a:xfrm>
          <a:off x="525935" y="6739862"/>
          <a:ext cx="2377171" cy="824405"/>
          <a:chOff x="481020" y="8624879"/>
          <a:chExt cx="2364750" cy="821230"/>
        </a:xfrm>
      </xdr:grpSpPr>
      <xdr:sp macro="" textlink="">
        <xdr:nvSpPr>
          <xdr:cNvPr id="5" name="テキスト ボックス 4">
            <a:extLst>
              <a:ext uri="{FF2B5EF4-FFF2-40B4-BE49-F238E27FC236}">
                <a16:creationId xmlns:a16="http://schemas.microsoft.com/office/drawing/2014/main" id="{4149AA6B-7D7B-8959-CCCC-BDEDFEF559E5}"/>
              </a:ext>
            </a:extLst>
          </xdr:cNvPr>
          <xdr:cNvSpPr txBox="1"/>
        </xdr:nvSpPr>
        <xdr:spPr>
          <a:xfrm>
            <a:off x="481020" y="8624879"/>
            <a:ext cx="1338828" cy="306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000"/>
              <a:t>肥後銀行　池田支店</a:t>
            </a:r>
            <a:endParaRPr kumimoji="1" lang="en-US" altLang="ja-JP" sz="1000"/>
          </a:p>
        </xdr:txBody>
      </xdr:sp>
      <xdr:sp macro="" textlink="">
        <xdr:nvSpPr>
          <xdr:cNvPr id="6" name="テキスト ボックス 5">
            <a:extLst>
              <a:ext uri="{FF2B5EF4-FFF2-40B4-BE49-F238E27FC236}">
                <a16:creationId xmlns:a16="http://schemas.microsoft.com/office/drawing/2014/main" id="{F16FBD90-E62A-D076-4DE4-4BE034019ABF}"/>
              </a:ext>
            </a:extLst>
          </xdr:cNvPr>
          <xdr:cNvSpPr txBox="1"/>
        </xdr:nvSpPr>
        <xdr:spPr>
          <a:xfrm>
            <a:off x="481020" y="8796329"/>
            <a:ext cx="1280992" cy="306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000"/>
              <a:t>普通口座　</a:t>
            </a:r>
            <a:r>
              <a:rPr kumimoji="1" lang="en-US" altLang="ja-JP" sz="1000"/>
              <a:t>0227106</a:t>
            </a:r>
          </a:p>
        </xdr:txBody>
      </xdr:sp>
      <xdr:sp macro="" textlink="">
        <xdr:nvSpPr>
          <xdr:cNvPr id="7" name="テキスト ボックス 6">
            <a:extLst>
              <a:ext uri="{FF2B5EF4-FFF2-40B4-BE49-F238E27FC236}">
                <a16:creationId xmlns:a16="http://schemas.microsoft.com/office/drawing/2014/main" id="{BF4AC28B-1864-A7DD-3004-795735094FD3}"/>
              </a:ext>
            </a:extLst>
          </xdr:cNvPr>
          <xdr:cNvSpPr txBox="1"/>
        </xdr:nvSpPr>
        <xdr:spPr>
          <a:xfrm>
            <a:off x="481020" y="8967779"/>
            <a:ext cx="2236510" cy="306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000"/>
              <a:t>口座名義　株式会社フードパル熊本</a:t>
            </a:r>
            <a:endParaRPr kumimoji="1" lang="en-US" altLang="ja-JP" sz="1000"/>
          </a:p>
        </xdr:txBody>
      </xdr:sp>
      <xdr:sp macro="" textlink="">
        <xdr:nvSpPr>
          <xdr:cNvPr id="8" name="テキスト ボックス 7">
            <a:extLst>
              <a:ext uri="{FF2B5EF4-FFF2-40B4-BE49-F238E27FC236}">
                <a16:creationId xmlns:a16="http://schemas.microsoft.com/office/drawing/2014/main" id="{CE7F3507-EBE2-6B63-63FD-77BA72A688C9}"/>
              </a:ext>
            </a:extLst>
          </xdr:cNvPr>
          <xdr:cNvSpPr txBox="1"/>
        </xdr:nvSpPr>
        <xdr:spPr>
          <a:xfrm>
            <a:off x="481020" y="9139230"/>
            <a:ext cx="2364750" cy="306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000"/>
              <a:t>　　　　　代表取締役　　毛利　浩一</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7</xdr:col>
      <xdr:colOff>142132</xdr:colOff>
      <xdr:row>3</xdr:row>
      <xdr:rowOff>112688</xdr:rowOff>
    </xdr:from>
    <xdr:to>
      <xdr:col>11</xdr:col>
      <xdr:colOff>10795</xdr:colOff>
      <xdr:row>7</xdr:row>
      <xdr:rowOff>266700</xdr:rowOff>
    </xdr:to>
    <xdr:sp macro="" textlink="" fLocksText="0">
      <xdr:nvSpPr>
        <xdr:cNvPr id="3" name="テキスト ボックス 2">
          <a:extLst>
            <a:ext uri="{FF2B5EF4-FFF2-40B4-BE49-F238E27FC236}">
              <a16:creationId xmlns:a16="http://schemas.microsoft.com/office/drawing/2014/main" id="{165169F2-773C-4D5C-BCA7-2CD9B0917EFA}"/>
            </a:ext>
          </a:extLst>
        </xdr:cNvPr>
        <xdr:cNvSpPr txBox="1"/>
      </xdr:nvSpPr>
      <xdr:spPr>
        <a:xfrm>
          <a:off x="3691782" y="1001688"/>
          <a:ext cx="2326113" cy="1462112"/>
        </a:xfrm>
        <a:prstGeom prst="rect">
          <a:avLst/>
        </a:prstGeom>
        <a:noFill/>
        <a:ln w="63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dk1"/>
              </a:solidFill>
              <a:effectLst/>
              <a:latin typeface="+mn-lt"/>
              <a:ea typeface="+mn-ea"/>
              <a:cs typeface="+mn-cs"/>
            </a:rPr>
            <a:t>熊本県熊本市北区和泉町</a:t>
          </a:r>
          <a:r>
            <a:rPr kumimoji="1" lang="en-US" altLang="ja-JP" sz="1000">
              <a:solidFill>
                <a:schemeClr val="dk1"/>
              </a:solidFill>
              <a:effectLst/>
              <a:latin typeface="+mn-lt"/>
              <a:ea typeface="+mn-ea"/>
              <a:cs typeface="+mn-cs"/>
            </a:rPr>
            <a:t>189-24</a:t>
          </a:r>
          <a:endParaRPr lang="ja-JP" altLang="ja-JP" sz="1000">
            <a:effectLst/>
          </a:endParaRPr>
        </a:p>
        <a:p>
          <a:r>
            <a:rPr kumimoji="1" lang="ja-JP" altLang="en-US" sz="1000"/>
            <a:t>株式会社フードパル熊本</a:t>
          </a:r>
          <a:endParaRPr kumimoji="1" lang="en-US" altLang="ja-JP" sz="1000"/>
        </a:p>
        <a:p>
          <a:r>
            <a:rPr kumimoji="1" lang="ja-JP" altLang="en-US" sz="1000"/>
            <a:t>熊本市食品交流会館</a:t>
          </a:r>
          <a:r>
            <a:rPr kumimoji="1" lang="ja-JP" altLang="en-US" sz="1000" baseline="0"/>
            <a:t> </a:t>
          </a:r>
          <a:r>
            <a:rPr kumimoji="1" lang="ja-JP" altLang="en-US" sz="1000"/>
            <a:t>指定管理者</a:t>
          </a:r>
          <a:endParaRPr kumimoji="1" lang="en-US" altLang="ja-JP" sz="1000"/>
        </a:p>
        <a:p>
          <a:r>
            <a:rPr kumimoji="1" lang="ja-JP" altLang="en-US" sz="1000"/>
            <a:t>代表取締役　　毛利　浩一</a:t>
          </a:r>
          <a:endParaRPr kumimoji="1" lang="en-US" altLang="ja-JP" sz="10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dk1"/>
              </a:solidFill>
              <a:effectLst/>
              <a:latin typeface="+mn-lt"/>
              <a:ea typeface="+mn-ea"/>
              <a:cs typeface="+mn-cs"/>
            </a:rPr>
            <a:t>TEL</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096 - 245 - 5630 </a:t>
          </a:r>
          <a:r>
            <a:rPr kumimoji="1" lang="ja-JP" altLang="en-US" sz="900" baseline="0">
              <a:solidFill>
                <a:schemeClr val="dk1"/>
              </a:solidFill>
              <a:effectLst/>
              <a:latin typeface="+mn-lt"/>
              <a:ea typeface="+mn-ea"/>
              <a:cs typeface="+mn-cs"/>
            </a:rPr>
            <a:t>  </a:t>
          </a:r>
          <a:r>
            <a:rPr kumimoji="1" lang="en-US" altLang="ja-JP" sz="900">
              <a:solidFill>
                <a:schemeClr val="dk1"/>
              </a:solidFill>
              <a:effectLst/>
              <a:latin typeface="+mn-lt"/>
              <a:ea typeface="+mn-ea"/>
              <a:cs typeface="+mn-cs"/>
            </a:rPr>
            <a:t>FAX</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096 - 245 - 5575</a:t>
          </a:r>
          <a:endParaRPr lang="ja-JP" altLang="ja-JP" sz="1000">
            <a:effectLst/>
          </a:endParaRPr>
        </a:p>
        <a:p>
          <a:r>
            <a:rPr kumimoji="1" lang="ja-JP" altLang="en-US" sz="1000"/>
            <a:t>登録番号：</a:t>
          </a:r>
          <a:r>
            <a:rPr kumimoji="1" lang="en-US" altLang="ja-JP" sz="1000"/>
            <a:t>T7330001004010</a:t>
          </a:r>
        </a:p>
      </xdr:txBody>
    </xdr:sp>
    <xdr:clientData/>
  </xdr:twoCellAnchor>
  <xdr:twoCellAnchor editAs="absolute">
    <xdr:from>
      <xdr:col>2</xdr:col>
      <xdr:colOff>41841</xdr:colOff>
      <xdr:row>21</xdr:row>
      <xdr:rowOff>285274</xdr:rowOff>
    </xdr:from>
    <xdr:to>
      <xdr:col>5</xdr:col>
      <xdr:colOff>70259</xdr:colOff>
      <xdr:row>25</xdr:row>
      <xdr:rowOff>42879</xdr:rowOff>
    </xdr:to>
    <xdr:grpSp>
      <xdr:nvGrpSpPr>
        <xdr:cNvPr id="4" name="グループ化 3">
          <a:extLst>
            <a:ext uri="{FF2B5EF4-FFF2-40B4-BE49-F238E27FC236}">
              <a16:creationId xmlns:a16="http://schemas.microsoft.com/office/drawing/2014/main" id="{66452F98-FC63-4CC3-9E50-2D170D2DD248}"/>
            </a:ext>
          </a:extLst>
        </xdr:cNvPr>
        <xdr:cNvGrpSpPr/>
      </xdr:nvGrpSpPr>
      <xdr:grpSpPr>
        <a:xfrm>
          <a:off x="540605" y="6824619"/>
          <a:ext cx="2369836" cy="838260"/>
          <a:chOff x="481020" y="8624879"/>
          <a:chExt cx="2364750" cy="821230"/>
        </a:xfrm>
      </xdr:grpSpPr>
      <xdr:sp macro="" textlink="">
        <xdr:nvSpPr>
          <xdr:cNvPr id="5" name="テキスト ボックス 4">
            <a:extLst>
              <a:ext uri="{FF2B5EF4-FFF2-40B4-BE49-F238E27FC236}">
                <a16:creationId xmlns:a16="http://schemas.microsoft.com/office/drawing/2014/main" id="{866DDE70-5D2B-A517-6801-FA3B443ADACD}"/>
              </a:ext>
            </a:extLst>
          </xdr:cNvPr>
          <xdr:cNvSpPr txBox="1"/>
        </xdr:nvSpPr>
        <xdr:spPr>
          <a:xfrm>
            <a:off x="481020" y="8624879"/>
            <a:ext cx="1338828" cy="306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000"/>
              <a:t>肥後銀行　池田支店</a:t>
            </a:r>
            <a:endParaRPr kumimoji="1" lang="en-US" altLang="ja-JP" sz="1000"/>
          </a:p>
        </xdr:txBody>
      </xdr:sp>
      <xdr:sp macro="" textlink="">
        <xdr:nvSpPr>
          <xdr:cNvPr id="6" name="テキスト ボックス 5">
            <a:extLst>
              <a:ext uri="{FF2B5EF4-FFF2-40B4-BE49-F238E27FC236}">
                <a16:creationId xmlns:a16="http://schemas.microsoft.com/office/drawing/2014/main" id="{CDB82405-E8C6-AFEA-DF94-F5FFE3D1CC9C}"/>
              </a:ext>
            </a:extLst>
          </xdr:cNvPr>
          <xdr:cNvSpPr txBox="1"/>
        </xdr:nvSpPr>
        <xdr:spPr>
          <a:xfrm>
            <a:off x="481020" y="8796329"/>
            <a:ext cx="1280992" cy="306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000"/>
              <a:t>普通口座　</a:t>
            </a:r>
            <a:r>
              <a:rPr kumimoji="1" lang="en-US" altLang="ja-JP" sz="1000"/>
              <a:t>0227106</a:t>
            </a:r>
          </a:p>
        </xdr:txBody>
      </xdr:sp>
      <xdr:sp macro="" textlink="">
        <xdr:nvSpPr>
          <xdr:cNvPr id="7" name="テキスト ボックス 6">
            <a:extLst>
              <a:ext uri="{FF2B5EF4-FFF2-40B4-BE49-F238E27FC236}">
                <a16:creationId xmlns:a16="http://schemas.microsoft.com/office/drawing/2014/main" id="{FF827F58-1874-AC3E-9851-F15D5FC11DA8}"/>
              </a:ext>
            </a:extLst>
          </xdr:cNvPr>
          <xdr:cNvSpPr txBox="1"/>
        </xdr:nvSpPr>
        <xdr:spPr>
          <a:xfrm>
            <a:off x="481020" y="8967779"/>
            <a:ext cx="2236510" cy="306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000"/>
              <a:t>口座名義　株式会社フードパル熊本</a:t>
            </a:r>
            <a:endParaRPr kumimoji="1" lang="en-US" altLang="ja-JP" sz="1000"/>
          </a:p>
        </xdr:txBody>
      </xdr:sp>
      <xdr:sp macro="" textlink="">
        <xdr:nvSpPr>
          <xdr:cNvPr id="8" name="テキスト ボックス 7">
            <a:extLst>
              <a:ext uri="{FF2B5EF4-FFF2-40B4-BE49-F238E27FC236}">
                <a16:creationId xmlns:a16="http://schemas.microsoft.com/office/drawing/2014/main" id="{2D60C3F9-55C8-7CE1-D5E2-2A64119C1F2F}"/>
              </a:ext>
            </a:extLst>
          </xdr:cNvPr>
          <xdr:cNvSpPr txBox="1"/>
        </xdr:nvSpPr>
        <xdr:spPr>
          <a:xfrm>
            <a:off x="481020" y="9139230"/>
            <a:ext cx="2364750" cy="306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000"/>
              <a:t>　　　　　代表取締役　　毛利　浩一</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21166</xdr:colOff>
      <xdr:row>24</xdr:row>
      <xdr:rowOff>63500</xdr:rowOff>
    </xdr:from>
    <xdr:to>
      <xdr:col>4</xdr:col>
      <xdr:colOff>423332</xdr:colOff>
      <xdr:row>24</xdr:row>
      <xdr:rowOff>359833</xdr:rowOff>
    </xdr:to>
    <xdr:sp macro="" textlink="">
      <xdr:nvSpPr>
        <xdr:cNvPr id="2" name="楕円 1">
          <a:extLst>
            <a:ext uri="{FF2B5EF4-FFF2-40B4-BE49-F238E27FC236}">
              <a16:creationId xmlns:a16="http://schemas.microsoft.com/office/drawing/2014/main" id="{DAE73B8D-548D-47BD-2A0D-15961184099E}"/>
            </a:ext>
          </a:extLst>
        </xdr:cNvPr>
        <xdr:cNvSpPr/>
      </xdr:nvSpPr>
      <xdr:spPr>
        <a:xfrm>
          <a:off x="1777999" y="7747000"/>
          <a:ext cx="804333" cy="296333"/>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22411</xdr:colOff>
      <xdr:row>20</xdr:row>
      <xdr:rowOff>14941</xdr:rowOff>
    </xdr:from>
    <xdr:to>
      <xdr:col>3</xdr:col>
      <xdr:colOff>381000</xdr:colOff>
      <xdr:row>20</xdr:row>
      <xdr:rowOff>358588</xdr:rowOff>
    </xdr:to>
    <xdr:sp macro="" textlink="">
      <xdr:nvSpPr>
        <xdr:cNvPr id="3" name="楕円 2">
          <a:extLst>
            <a:ext uri="{FF2B5EF4-FFF2-40B4-BE49-F238E27FC236}">
              <a16:creationId xmlns:a16="http://schemas.microsoft.com/office/drawing/2014/main" id="{E20C6AE7-AFC0-93C4-6614-FBC4D951BF8E}"/>
            </a:ext>
          </a:extLst>
        </xdr:cNvPr>
        <xdr:cNvSpPr/>
      </xdr:nvSpPr>
      <xdr:spPr>
        <a:xfrm>
          <a:off x="1777999" y="6110941"/>
          <a:ext cx="358589" cy="343647"/>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645583</xdr:colOff>
      <xdr:row>24</xdr:row>
      <xdr:rowOff>31750</xdr:rowOff>
    </xdr:from>
    <xdr:to>
      <xdr:col>2</xdr:col>
      <xdr:colOff>391583</xdr:colOff>
      <xdr:row>24</xdr:row>
      <xdr:rowOff>370416</xdr:rowOff>
    </xdr:to>
    <xdr:sp macro="" textlink="">
      <xdr:nvSpPr>
        <xdr:cNvPr id="2" name="楕円 1">
          <a:extLst>
            <a:ext uri="{FF2B5EF4-FFF2-40B4-BE49-F238E27FC236}">
              <a16:creationId xmlns:a16="http://schemas.microsoft.com/office/drawing/2014/main" id="{41ED2B16-8519-182C-DE52-F6E3259BC356}"/>
            </a:ext>
          </a:extLst>
        </xdr:cNvPr>
        <xdr:cNvSpPr/>
      </xdr:nvSpPr>
      <xdr:spPr>
        <a:xfrm>
          <a:off x="645583" y="7715250"/>
          <a:ext cx="730250" cy="338666"/>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47936</xdr:colOff>
      <xdr:row>20</xdr:row>
      <xdr:rowOff>67234</xdr:rowOff>
    </xdr:from>
    <xdr:to>
      <xdr:col>3</xdr:col>
      <xdr:colOff>358588</xdr:colOff>
      <xdr:row>20</xdr:row>
      <xdr:rowOff>344267</xdr:rowOff>
    </xdr:to>
    <xdr:sp macro="" textlink="">
      <xdr:nvSpPr>
        <xdr:cNvPr id="3" name="楕円 2">
          <a:extLst>
            <a:ext uri="{FF2B5EF4-FFF2-40B4-BE49-F238E27FC236}">
              <a16:creationId xmlns:a16="http://schemas.microsoft.com/office/drawing/2014/main" id="{8D865141-B5D1-4611-BCB9-481C28D5F2E8}"/>
            </a:ext>
          </a:extLst>
        </xdr:cNvPr>
        <xdr:cNvSpPr/>
      </xdr:nvSpPr>
      <xdr:spPr>
        <a:xfrm>
          <a:off x="1803524" y="6163234"/>
          <a:ext cx="310652" cy="277033"/>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37353</xdr:colOff>
      <xdr:row>20</xdr:row>
      <xdr:rowOff>44824</xdr:rowOff>
    </xdr:from>
    <xdr:to>
      <xdr:col>3</xdr:col>
      <xdr:colOff>328706</xdr:colOff>
      <xdr:row>20</xdr:row>
      <xdr:rowOff>321235</xdr:rowOff>
    </xdr:to>
    <xdr:sp macro="" textlink="">
      <xdr:nvSpPr>
        <xdr:cNvPr id="2" name="楕円 1">
          <a:extLst>
            <a:ext uri="{FF2B5EF4-FFF2-40B4-BE49-F238E27FC236}">
              <a16:creationId xmlns:a16="http://schemas.microsoft.com/office/drawing/2014/main" id="{B8095219-E9F3-3394-F625-1871224F77A9}"/>
            </a:ext>
          </a:extLst>
        </xdr:cNvPr>
        <xdr:cNvSpPr/>
      </xdr:nvSpPr>
      <xdr:spPr>
        <a:xfrm>
          <a:off x="1792941" y="6140824"/>
          <a:ext cx="291353" cy="276411"/>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67235</xdr:colOff>
      <xdr:row>20</xdr:row>
      <xdr:rowOff>44824</xdr:rowOff>
    </xdr:from>
    <xdr:to>
      <xdr:col>3</xdr:col>
      <xdr:colOff>381000</xdr:colOff>
      <xdr:row>20</xdr:row>
      <xdr:rowOff>321236</xdr:rowOff>
    </xdr:to>
    <xdr:sp macro="" textlink="">
      <xdr:nvSpPr>
        <xdr:cNvPr id="2" name="楕円 1">
          <a:extLst>
            <a:ext uri="{FF2B5EF4-FFF2-40B4-BE49-F238E27FC236}">
              <a16:creationId xmlns:a16="http://schemas.microsoft.com/office/drawing/2014/main" id="{4C616BE0-ACC7-6479-342D-B33645A50DDF}"/>
            </a:ext>
          </a:extLst>
        </xdr:cNvPr>
        <xdr:cNvSpPr/>
      </xdr:nvSpPr>
      <xdr:spPr>
        <a:xfrm>
          <a:off x="1822823" y="6140824"/>
          <a:ext cx="313765" cy="276412"/>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8E412-E6F1-46F1-9C65-E0F03D055AAE}">
  <sheetPr>
    <tabColor rgb="FFFFC000"/>
  </sheetPr>
  <dimension ref="A1:F17"/>
  <sheetViews>
    <sheetView zoomScale="55" zoomScaleNormal="55" workbookViewId="0">
      <selection activeCell="B5" sqref="B5"/>
    </sheetView>
  </sheetViews>
  <sheetFormatPr defaultRowHeight="18"/>
  <cols>
    <col min="1" max="1" width="3.19921875" customWidth="1"/>
    <col min="2" max="2" width="22.296875" customWidth="1"/>
    <col min="6" max="6" width="22.3984375" customWidth="1"/>
  </cols>
  <sheetData>
    <row r="1" spans="1:6" ht="30" customHeight="1">
      <c r="A1" s="1" t="s">
        <v>0</v>
      </c>
      <c r="B1" t="s">
        <v>12</v>
      </c>
    </row>
    <row r="2" spans="1:6" ht="30" customHeight="1">
      <c r="B2" s="6" t="s">
        <v>13</v>
      </c>
      <c r="C2" s="197" t="s">
        <v>14</v>
      </c>
      <c r="D2" s="198"/>
      <c r="E2" s="198"/>
      <c r="F2" s="199"/>
    </row>
    <row r="3" spans="1:6" ht="30" customHeight="1">
      <c r="B3" s="7" t="s">
        <v>15</v>
      </c>
      <c r="C3" s="200" t="s">
        <v>16</v>
      </c>
      <c r="D3" s="201"/>
      <c r="E3" s="201"/>
      <c r="F3" s="202"/>
    </row>
    <row r="4" spans="1:6" ht="30" customHeight="1">
      <c r="B4" s="8"/>
      <c r="C4" s="203"/>
      <c r="D4" s="204"/>
      <c r="E4" s="204"/>
      <c r="F4" s="205"/>
    </row>
    <row r="5" spans="1:6" ht="30" customHeight="1">
      <c r="B5" s="9"/>
      <c r="C5" s="206"/>
      <c r="D5" s="207"/>
      <c r="E5" s="207"/>
      <c r="F5" s="208"/>
    </row>
    <row r="6" spans="1:6" ht="30" customHeight="1">
      <c r="B6" s="6" t="s">
        <v>17</v>
      </c>
      <c r="C6" s="197" t="s">
        <v>18</v>
      </c>
      <c r="D6" s="198"/>
      <c r="E6" s="198"/>
      <c r="F6" s="199"/>
    </row>
    <row r="7" spans="1:6" ht="30" customHeight="1">
      <c r="B7" s="10" t="s">
        <v>19</v>
      </c>
      <c r="C7" s="197" t="s">
        <v>20</v>
      </c>
      <c r="D7" s="198"/>
      <c r="E7" s="198"/>
      <c r="F7" s="199"/>
    </row>
    <row r="8" spans="1:6" ht="30" customHeight="1">
      <c r="B8" s="4" t="s">
        <v>21</v>
      </c>
      <c r="C8" s="200" t="s">
        <v>22</v>
      </c>
      <c r="D8" s="201"/>
      <c r="E8" s="201"/>
      <c r="F8" s="202"/>
    </row>
    <row r="9" spans="1:6" ht="50.1" customHeight="1">
      <c r="B9" s="11"/>
      <c r="C9" s="209" t="s">
        <v>23</v>
      </c>
      <c r="D9" s="210"/>
      <c r="E9" s="210"/>
      <c r="F9" s="211"/>
    </row>
    <row r="10" spans="1:6" ht="30" customHeight="1">
      <c r="B10" s="11"/>
      <c r="C10" s="203" t="s">
        <v>24</v>
      </c>
      <c r="D10" s="204"/>
      <c r="E10" s="204"/>
      <c r="F10" s="205"/>
    </row>
    <row r="11" spans="1:6" ht="39.9" customHeight="1">
      <c r="B11" s="11"/>
      <c r="C11" s="209" t="s">
        <v>25</v>
      </c>
      <c r="D11" s="210"/>
      <c r="E11" s="210"/>
      <c r="F11" s="211"/>
    </row>
    <row r="12" spans="1:6" ht="50.1" customHeight="1">
      <c r="B12" s="11"/>
      <c r="C12" s="203" t="s">
        <v>26</v>
      </c>
      <c r="D12" s="204"/>
      <c r="E12" s="204"/>
      <c r="F12" s="205"/>
    </row>
    <row r="13" spans="1:6" ht="30" customHeight="1">
      <c r="A13" s="3"/>
      <c r="B13" s="12"/>
      <c r="C13" s="206" t="s">
        <v>27</v>
      </c>
      <c r="D13" s="207"/>
      <c r="E13" s="207"/>
      <c r="F13" s="208"/>
    </row>
    <row r="14" spans="1:6" ht="50.1" customHeight="1">
      <c r="A14" s="3"/>
      <c r="B14" s="13" t="s">
        <v>28</v>
      </c>
      <c r="C14" s="197" t="s">
        <v>29</v>
      </c>
      <c r="D14" s="198"/>
      <c r="E14" s="198"/>
      <c r="F14" s="199"/>
    </row>
    <row r="15" spans="1:6" ht="30" customHeight="1">
      <c r="B15" s="6" t="s">
        <v>30</v>
      </c>
      <c r="C15" s="197" t="s">
        <v>31</v>
      </c>
      <c r="D15" s="198"/>
      <c r="E15" s="198"/>
      <c r="F15" s="199"/>
    </row>
    <row r="16" spans="1:6" ht="30" customHeight="1">
      <c r="B16" s="6" t="s">
        <v>32</v>
      </c>
      <c r="C16" s="197" t="s">
        <v>33</v>
      </c>
      <c r="D16" s="198"/>
      <c r="E16" s="198"/>
      <c r="F16" s="199"/>
    </row>
    <row r="17" spans="2:6" ht="30" customHeight="1">
      <c r="B17" s="5"/>
      <c r="C17" s="3"/>
      <c r="D17" s="3"/>
      <c r="E17" s="3"/>
      <c r="F17" s="3"/>
    </row>
  </sheetData>
  <mergeCells count="13">
    <mergeCell ref="C15:F15"/>
    <mergeCell ref="C16:F16"/>
    <mergeCell ref="C8:F8"/>
    <mergeCell ref="C9:F9"/>
    <mergeCell ref="C10:F10"/>
    <mergeCell ref="C11:F11"/>
    <mergeCell ref="C12:F12"/>
    <mergeCell ref="C13:F13"/>
    <mergeCell ref="C2:F2"/>
    <mergeCell ref="C3:F5"/>
    <mergeCell ref="C6:F6"/>
    <mergeCell ref="C7:F7"/>
    <mergeCell ref="C14:F14"/>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B419E-A1EB-49F5-9905-C5E9FABABCA9}">
  <sheetPr>
    <tabColor rgb="FF0070C0"/>
  </sheetPr>
  <dimension ref="A1:K27"/>
  <sheetViews>
    <sheetView showGridLines="0" view="pageBreakPreview" topLeftCell="A15" zoomScale="85" zoomScaleNormal="60" zoomScaleSheetLayoutView="85" workbookViewId="0">
      <selection activeCell="G24" sqref="G24:I24"/>
    </sheetView>
  </sheetViews>
  <sheetFormatPr defaultColWidth="8.59765625" defaultRowHeight="13.2"/>
  <cols>
    <col min="1" max="1" width="8.59765625" style="33"/>
    <col min="2" max="2" width="4.296875" style="33" customWidth="1"/>
    <col min="3" max="3" width="10.09765625" style="33" customWidth="1"/>
    <col min="4" max="4" width="5.296875" style="33" customWidth="1"/>
    <col min="5" max="5" width="12.296875" style="33" customWidth="1"/>
    <col min="6" max="6" width="8.59765625" style="33"/>
    <col min="7" max="7" width="4.19921875" style="33" customWidth="1"/>
    <col min="8" max="8" width="8.59765625" style="33"/>
    <col min="9" max="9" width="4.19921875" style="33" customWidth="1"/>
    <col min="10" max="10" width="10.796875" style="33" customWidth="1"/>
    <col min="11" max="16384" width="8.59765625" style="33"/>
  </cols>
  <sheetData>
    <row r="1" spans="1:10" ht="18" customHeight="1">
      <c r="A1" s="33" t="s">
        <v>234</v>
      </c>
    </row>
    <row r="2" spans="1:10" ht="33.6" customHeight="1">
      <c r="A2" s="262" t="s">
        <v>235</v>
      </c>
      <c r="B2" s="262"/>
      <c r="C2" s="262"/>
      <c r="D2" s="262"/>
      <c r="E2" s="262"/>
      <c r="F2" s="262"/>
      <c r="G2" s="262"/>
      <c r="H2" s="262"/>
      <c r="I2" s="262"/>
      <c r="J2" s="262"/>
    </row>
    <row r="3" spans="1:10" ht="22.5" customHeight="1">
      <c r="H3" s="263">
        <f>【入力様式】イベント広場!C2</f>
        <v>45930</v>
      </c>
      <c r="I3" s="264"/>
      <c r="J3" s="264"/>
    </row>
    <row r="5" spans="1:10" ht="20.55" customHeight="1">
      <c r="A5" s="33" t="s">
        <v>143</v>
      </c>
    </row>
    <row r="7" spans="1:10" ht="21" customHeight="1">
      <c r="C7" s="265" t="s">
        <v>144</v>
      </c>
      <c r="D7" s="265"/>
      <c r="E7" s="264" t="str">
        <f>【入力様式】イベント広場!C5</f>
        <v>○○市○○区○○町111-11</v>
      </c>
      <c r="F7" s="264"/>
      <c r="G7" s="264"/>
      <c r="H7" s="264"/>
      <c r="I7" s="264"/>
      <c r="J7" s="264"/>
    </row>
    <row r="8" spans="1:10" ht="21" customHeight="1">
      <c r="C8" s="265" t="s">
        <v>145</v>
      </c>
      <c r="D8" s="265"/>
      <c r="E8" s="264" t="str">
        <f>【入力様式】イベント広場!C3</f>
        <v>■■■■株式会社</v>
      </c>
      <c r="F8" s="264"/>
      <c r="G8" s="264"/>
      <c r="H8" s="264"/>
      <c r="I8" s="264"/>
      <c r="J8" s="264"/>
    </row>
    <row r="9" spans="1:10" ht="21" customHeight="1">
      <c r="C9" s="265" t="s">
        <v>146</v>
      </c>
      <c r="D9" s="265"/>
      <c r="E9" s="264" t="str">
        <f>【入力様式】イベント広場!C6</f>
        <v>△△　△△</v>
      </c>
      <c r="F9" s="264"/>
      <c r="G9" s="264"/>
      <c r="H9" s="264"/>
      <c r="I9" s="264"/>
      <c r="J9" s="264"/>
    </row>
    <row r="10" spans="1:10" ht="21" customHeight="1">
      <c r="C10" s="265" t="s">
        <v>147</v>
      </c>
      <c r="D10" s="265"/>
      <c r="E10" s="264" t="str">
        <f>【入力様式】イベント広場!C7</f>
        <v>▲▲　▲▲</v>
      </c>
      <c r="F10" s="264"/>
      <c r="G10" s="34"/>
      <c r="H10" s="33" t="s">
        <v>148</v>
      </c>
      <c r="I10" s="264" t="str">
        <f>【入力様式】イベント広場!C8</f>
        <v>096-123-1234</v>
      </c>
      <c r="J10" s="264"/>
    </row>
    <row r="12" spans="1:10" ht="19.05" customHeight="1">
      <c r="A12" s="284" t="s">
        <v>247</v>
      </c>
      <c r="B12" s="285"/>
      <c r="C12" s="285"/>
      <c r="D12" s="285"/>
      <c r="E12" s="285"/>
      <c r="F12" s="285"/>
      <c r="G12" s="285"/>
      <c r="H12" s="285"/>
      <c r="I12" s="285"/>
      <c r="J12" s="285"/>
    </row>
    <row r="13" spans="1:10" ht="19.05" customHeight="1">
      <c r="A13" s="285"/>
      <c r="B13" s="285"/>
      <c r="C13" s="285"/>
      <c r="D13" s="285"/>
      <c r="E13" s="285"/>
      <c r="F13" s="285"/>
      <c r="G13" s="285"/>
      <c r="H13" s="285"/>
      <c r="I13" s="285"/>
      <c r="J13" s="285"/>
    </row>
    <row r="15" spans="1:10" ht="44.55" customHeight="1">
      <c r="A15" s="35" t="s">
        <v>150</v>
      </c>
      <c r="B15" s="266" t="str">
        <f>【入力様式】イベント広場!C10</f>
        <v>●●イベント</v>
      </c>
      <c r="C15" s="266"/>
      <c r="D15" s="266"/>
      <c r="E15" s="266"/>
      <c r="F15" s="266"/>
      <c r="G15" s="266"/>
      <c r="H15" s="266"/>
      <c r="I15" s="266"/>
      <c r="J15" s="267"/>
    </row>
    <row r="16" spans="1:10" ht="57.6" customHeight="1">
      <c r="A16" s="35" t="s">
        <v>151</v>
      </c>
      <c r="B16" s="266" t="str">
        <f>【入力様式】イベント広場!C11</f>
        <v>●●向けのイベントを開催する</v>
      </c>
      <c r="C16" s="266"/>
      <c r="D16" s="266"/>
      <c r="E16" s="266"/>
      <c r="F16" s="266"/>
      <c r="G16" s="266"/>
      <c r="H16" s="266"/>
      <c r="I16" s="266"/>
      <c r="J16" s="267"/>
    </row>
    <row r="17" spans="1:11" ht="24" customHeight="1">
      <c r="A17" s="268" t="s">
        <v>152</v>
      </c>
      <c r="B17" s="168"/>
      <c r="C17" s="169"/>
      <c r="D17" s="169"/>
      <c r="E17" s="271">
        <f>【入力様式】イベント広場!C12</f>
        <v>0</v>
      </c>
      <c r="F17" s="271"/>
      <c r="G17" s="272" t="s">
        <v>174</v>
      </c>
      <c r="H17" s="272"/>
      <c r="I17" s="166"/>
      <c r="J17" s="167"/>
    </row>
    <row r="18" spans="1:11" ht="24" customHeight="1">
      <c r="A18" s="269"/>
      <c r="B18" s="170"/>
      <c r="C18" s="171"/>
      <c r="D18" s="171"/>
      <c r="E18" s="273">
        <f>【入力様式】イベント広場!C13</f>
        <v>0</v>
      </c>
      <c r="F18" s="273"/>
      <c r="G18" s="171"/>
      <c r="H18" s="171" t="s">
        <v>175</v>
      </c>
      <c r="I18" s="171"/>
      <c r="J18" s="172"/>
    </row>
    <row r="19" spans="1:11" ht="24" customHeight="1">
      <c r="A19" s="270"/>
      <c r="B19" s="173"/>
      <c r="C19" s="174"/>
      <c r="D19" s="174"/>
      <c r="E19" s="174">
        <f>【入力様式】イベント広場!E14</f>
        <v>1</v>
      </c>
      <c r="F19" s="174" t="s">
        <v>218</v>
      </c>
      <c r="G19" s="174"/>
      <c r="H19" s="174"/>
      <c r="I19" s="174"/>
      <c r="J19" s="175"/>
    </row>
    <row r="20" spans="1:11" ht="36.6" customHeight="1">
      <c r="A20" s="36" t="s">
        <v>153</v>
      </c>
      <c r="B20" s="266"/>
      <c r="C20" s="266"/>
      <c r="D20" s="266"/>
      <c r="E20" s="266"/>
      <c r="F20" s="266"/>
      <c r="G20" s="266"/>
      <c r="H20" s="266"/>
      <c r="I20" s="266"/>
      <c r="J20" s="267"/>
    </row>
    <row r="21" spans="1:11" ht="29.1" customHeight="1">
      <c r="A21" s="36" t="s">
        <v>154</v>
      </c>
      <c r="B21" s="40">
        <v>1</v>
      </c>
      <c r="C21" s="41" t="s">
        <v>158</v>
      </c>
      <c r="D21" s="42">
        <v>2</v>
      </c>
      <c r="E21" s="43" t="s">
        <v>34</v>
      </c>
      <c r="F21" s="37" t="s">
        <v>155</v>
      </c>
      <c r="G21" s="276">
        <f>【入力様式】イベント広場!C15</f>
        <v>0</v>
      </c>
      <c r="H21" s="276"/>
      <c r="I21" s="276"/>
      <c r="J21" s="38" t="s">
        <v>156</v>
      </c>
    </row>
    <row r="22" spans="1:11" ht="31.5" customHeight="1" thickBot="1">
      <c r="A22" s="39" t="s">
        <v>157</v>
      </c>
      <c r="B22" s="40">
        <v>1</v>
      </c>
      <c r="C22" s="41" t="s">
        <v>172</v>
      </c>
      <c r="D22" s="42">
        <v>2</v>
      </c>
      <c r="E22" s="43" t="s">
        <v>173</v>
      </c>
      <c r="F22" s="44" t="s">
        <v>159</v>
      </c>
      <c r="G22" s="42">
        <v>1</v>
      </c>
      <c r="H22" s="41" t="s">
        <v>160</v>
      </c>
      <c r="I22" s="42">
        <v>2</v>
      </c>
      <c r="J22" s="45" t="s">
        <v>161</v>
      </c>
    </row>
    <row r="23" spans="1:11" ht="31.5" customHeight="1">
      <c r="A23" s="46" t="s">
        <v>162</v>
      </c>
      <c r="B23" s="277">
        <f>'【営利用】様式第１号(申請書)※入力不要'!B23</f>
        <v>0</v>
      </c>
      <c r="C23" s="278"/>
      <c r="D23" s="278"/>
      <c r="E23" s="47" t="s">
        <v>163</v>
      </c>
      <c r="F23" s="48" t="s">
        <v>164</v>
      </c>
      <c r="G23" s="279">
        <f>'【営利用】様式第１号(申請書)※入力不要'!G23</f>
        <v>0</v>
      </c>
      <c r="H23" s="280"/>
      <c r="I23" s="280"/>
      <c r="J23" s="49" t="s">
        <v>163</v>
      </c>
    </row>
    <row r="24" spans="1:11" ht="31.5" customHeight="1" thickBot="1">
      <c r="A24" s="50" t="s">
        <v>165</v>
      </c>
      <c r="B24" s="281"/>
      <c r="C24" s="282"/>
      <c r="D24" s="282"/>
      <c r="E24" s="45" t="s">
        <v>163</v>
      </c>
      <c r="F24" s="51" t="s">
        <v>166</v>
      </c>
      <c r="G24" s="283">
        <f>B23+G23</f>
        <v>0</v>
      </c>
      <c r="H24" s="283"/>
      <c r="I24" s="283"/>
      <c r="J24" s="52" t="s">
        <v>163</v>
      </c>
    </row>
    <row r="25" spans="1:11" ht="31.5" customHeight="1" thickBot="1">
      <c r="A25" s="53" t="s">
        <v>167</v>
      </c>
      <c r="B25" s="54">
        <v>1</v>
      </c>
      <c r="C25" s="55" t="s">
        <v>168</v>
      </c>
      <c r="D25" s="54">
        <v>2</v>
      </c>
      <c r="E25" s="55" t="s">
        <v>169</v>
      </c>
      <c r="F25" s="56"/>
      <c r="G25" s="57"/>
      <c r="H25" s="57"/>
      <c r="I25" s="57"/>
      <c r="J25" s="57"/>
      <c r="K25" s="58"/>
    </row>
    <row r="26" spans="1:11" ht="71.55" customHeight="1">
      <c r="A26" s="59" t="s">
        <v>170</v>
      </c>
      <c r="B26" s="274"/>
      <c r="C26" s="274"/>
      <c r="D26" s="274"/>
      <c r="E26" s="274"/>
      <c r="F26" s="274"/>
      <c r="G26" s="274"/>
      <c r="H26" s="274"/>
      <c r="I26" s="274"/>
      <c r="J26" s="275"/>
    </row>
    <row r="27" spans="1:11" ht="17.100000000000001" customHeight="1">
      <c r="A27" s="60" t="s">
        <v>171</v>
      </c>
    </row>
  </sheetData>
  <sheetProtection algorithmName="SHA-512" hashValue="LjmREkNQ6MG5v5tE7uCEUlyKfjs7iwK1wtQ5txADkLIMHYt9R8ZBUlde32MgiMO4n+KhiifJQbpuj1Cb2LwWpw==" saltValue="T2lj0ZLdk8kJdO2u/2RSng==" spinCount="100000" sheet="1" objects="1" scenarios="1"/>
  <mergeCells count="25">
    <mergeCell ref="A12:J13"/>
    <mergeCell ref="A2:J2"/>
    <mergeCell ref="H3:J3"/>
    <mergeCell ref="C7:D7"/>
    <mergeCell ref="E7:J7"/>
    <mergeCell ref="C8:D8"/>
    <mergeCell ref="E8:J8"/>
    <mergeCell ref="C9:D9"/>
    <mergeCell ref="E9:J9"/>
    <mergeCell ref="C10:D10"/>
    <mergeCell ref="E10:F10"/>
    <mergeCell ref="I10:J10"/>
    <mergeCell ref="B15:J15"/>
    <mergeCell ref="B16:J16"/>
    <mergeCell ref="A17:A19"/>
    <mergeCell ref="E17:F17"/>
    <mergeCell ref="G17:H17"/>
    <mergeCell ref="E18:F18"/>
    <mergeCell ref="B26:J26"/>
    <mergeCell ref="B20:J20"/>
    <mergeCell ref="G21:I21"/>
    <mergeCell ref="B23:D23"/>
    <mergeCell ref="G23:I23"/>
    <mergeCell ref="B24:D24"/>
    <mergeCell ref="G24:I24"/>
  </mergeCells>
  <phoneticPr fontId="2"/>
  <conditionalFormatting sqref="E17:F17">
    <cfRule type="expression" dxfId="1" priority="2">
      <formula>$E$17=DATE(1900,1,0)</formula>
    </cfRule>
  </conditionalFormatting>
  <conditionalFormatting sqref="E18:F18">
    <cfRule type="expression" dxfId="0" priority="1">
      <formula>$E$18=DATE(1900,1,0)</formula>
    </cfRule>
  </conditionalFormatting>
  <pageMargins left="0.7" right="0.4" top="0.75" bottom="0.46"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1C65F-7A87-4A6E-ADB1-75C950C5E2F5}">
  <sheetPr>
    <tabColor theme="1" tint="0.499984740745262"/>
  </sheetPr>
  <dimension ref="B1:S60"/>
  <sheetViews>
    <sheetView topLeftCell="A13" zoomScale="55" zoomScaleNormal="55" workbookViewId="0">
      <selection activeCell="C2" sqref="C2:F2"/>
    </sheetView>
  </sheetViews>
  <sheetFormatPr defaultRowHeight="18"/>
  <cols>
    <col min="7" max="7" width="12.59765625" bestFit="1" customWidth="1"/>
    <col min="8" max="8" width="11" bestFit="1" customWidth="1"/>
    <col min="9" max="9" width="15.09765625" bestFit="1" customWidth="1"/>
    <col min="10" max="10" width="19.19921875" bestFit="1" customWidth="1"/>
    <col min="11" max="12" width="16.5" bestFit="1" customWidth="1"/>
    <col min="13" max="13" width="11" bestFit="1" customWidth="1"/>
    <col min="14" max="15" width="18.5" bestFit="1" customWidth="1"/>
    <col min="16" max="16" width="12.8984375" bestFit="1" customWidth="1"/>
    <col min="18" max="18" width="43.09765625" customWidth="1"/>
    <col min="19" max="19" width="8.59765625" style="14"/>
  </cols>
  <sheetData>
    <row r="1" spans="2:19">
      <c r="G1" s="15"/>
      <c r="H1" s="15" t="s">
        <v>65</v>
      </c>
      <c r="I1" s="15" t="s">
        <v>66</v>
      </c>
      <c r="J1" s="15" t="s">
        <v>67</v>
      </c>
      <c r="K1" s="15" t="s">
        <v>68</v>
      </c>
      <c r="L1" s="15" t="s">
        <v>69</v>
      </c>
      <c r="M1" s="15" t="s">
        <v>35</v>
      </c>
      <c r="N1" s="15" t="s">
        <v>48</v>
      </c>
      <c r="O1" s="15" t="s">
        <v>36</v>
      </c>
      <c r="P1" s="15" t="s">
        <v>34</v>
      </c>
      <c r="R1" t="s">
        <v>70</v>
      </c>
    </row>
    <row r="2" spans="2:19">
      <c r="B2" t="s">
        <v>71</v>
      </c>
      <c r="G2" s="15" t="s">
        <v>72</v>
      </c>
      <c r="H2" s="16">
        <v>0</v>
      </c>
      <c r="I2" s="16">
        <v>0</v>
      </c>
      <c r="J2" s="16">
        <v>0</v>
      </c>
      <c r="K2" s="16">
        <v>0</v>
      </c>
      <c r="L2" s="16">
        <v>0</v>
      </c>
      <c r="M2" s="16">
        <v>0</v>
      </c>
      <c r="N2" s="16">
        <v>0</v>
      </c>
      <c r="O2" s="16">
        <v>0</v>
      </c>
      <c r="P2" s="16">
        <v>0</v>
      </c>
      <c r="R2" t="s">
        <v>73</v>
      </c>
    </row>
    <row r="3" spans="2:19">
      <c r="B3" t="s">
        <v>74</v>
      </c>
      <c r="C3" t="s">
        <v>75</v>
      </c>
      <c r="D3" t="s">
        <v>76</v>
      </c>
      <c r="E3" t="s">
        <v>77</v>
      </c>
      <c r="F3">
        <v>1</v>
      </c>
      <c r="G3" s="15" t="s">
        <v>78</v>
      </c>
      <c r="H3" s="16">
        <f>3360+7000</f>
        <v>10360</v>
      </c>
      <c r="I3" s="16">
        <f>5040+10500</f>
        <v>15540</v>
      </c>
      <c r="J3" s="16">
        <f>2400+5000</f>
        <v>7400</v>
      </c>
      <c r="K3" s="16">
        <f>1350+2800</f>
        <v>4150</v>
      </c>
      <c r="L3" s="16">
        <f>1050+2200</f>
        <v>3250</v>
      </c>
      <c r="M3" s="16">
        <f>720+1500</f>
        <v>2220</v>
      </c>
      <c r="N3" s="16">
        <f>1110+2300</f>
        <v>3410</v>
      </c>
      <c r="O3" s="16">
        <f>840+1700</f>
        <v>2540</v>
      </c>
      <c r="P3" s="16">
        <v>15000</v>
      </c>
      <c r="R3" s="15" t="s">
        <v>79</v>
      </c>
      <c r="S3" s="16">
        <v>1000</v>
      </c>
    </row>
    <row r="4" spans="2:19">
      <c r="B4" t="s">
        <v>80</v>
      </c>
      <c r="C4" t="s">
        <v>81</v>
      </c>
      <c r="E4" t="s">
        <v>82</v>
      </c>
      <c r="F4">
        <v>2</v>
      </c>
      <c r="G4" s="15" t="s">
        <v>83</v>
      </c>
      <c r="H4" s="16">
        <f>3360+7000+2333</f>
        <v>12693</v>
      </c>
      <c r="I4" s="16">
        <f>5040+10500+3500</f>
        <v>19040</v>
      </c>
      <c r="J4" s="16">
        <f>2400+5000+1666</f>
        <v>9066</v>
      </c>
      <c r="K4" s="16">
        <f>1350+2800+933</f>
        <v>5083</v>
      </c>
      <c r="L4" s="16">
        <f>1050+2200+733</f>
        <v>3983</v>
      </c>
      <c r="M4" s="16">
        <f>720+1500+500</f>
        <v>2720</v>
      </c>
      <c r="N4" s="16">
        <f>1110+2300+766</f>
        <v>4176</v>
      </c>
      <c r="O4" s="16">
        <f>840+1700+566</f>
        <v>3106</v>
      </c>
      <c r="P4" s="16">
        <v>15000</v>
      </c>
      <c r="R4" s="15" t="s">
        <v>84</v>
      </c>
      <c r="S4" s="16">
        <v>1000</v>
      </c>
    </row>
    <row r="5" spans="2:19">
      <c r="E5" t="s">
        <v>85</v>
      </c>
      <c r="F5">
        <v>3</v>
      </c>
      <c r="G5" s="15" t="s">
        <v>86</v>
      </c>
      <c r="H5" s="16">
        <f>3360+7000+9300</f>
        <v>19660</v>
      </c>
      <c r="I5" s="16">
        <f>5040+10500+14000</f>
        <v>29540</v>
      </c>
      <c r="J5" s="16">
        <f>2400+5000+6700</f>
        <v>14100</v>
      </c>
      <c r="K5" s="16">
        <f>1350+2800+3800</f>
        <v>7950</v>
      </c>
      <c r="L5" s="16">
        <f>1050+2200+2900</f>
        <v>6150</v>
      </c>
      <c r="M5" s="16">
        <f>720+1500+2000</f>
        <v>4220</v>
      </c>
      <c r="N5" s="16">
        <f>1110+2300+3100</f>
        <v>6510</v>
      </c>
      <c r="O5" s="16">
        <f>840+1700+2300</f>
        <v>4840</v>
      </c>
      <c r="P5" s="16">
        <v>15000</v>
      </c>
      <c r="R5" s="15" t="s">
        <v>87</v>
      </c>
      <c r="S5" s="16">
        <v>1500</v>
      </c>
    </row>
    <row r="6" spans="2:19">
      <c r="E6" t="s">
        <v>88</v>
      </c>
      <c r="F6">
        <v>4</v>
      </c>
      <c r="G6" s="15" t="s">
        <v>89</v>
      </c>
      <c r="H6" s="16">
        <f>3360+7000+9300+2325</f>
        <v>21985</v>
      </c>
      <c r="I6" s="16">
        <f>5040+10500+14000+3500</f>
        <v>33040</v>
      </c>
      <c r="J6" s="16">
        <f>2400+5000+6700+1675</f>
        <v>15775</v>
      </c>
      <c r="K6" s="16">
        <f>1350+2800+3800+950</f>
        <v>8900</v>
      </c>
      <c r="L6" s="16">
        <f>1050+2200+2900+725</f>
        <v>6875</v>
      </c>
      <c r="M6" s="16">
        <f>720+1500+2000+500</f>
        <v>4720</v>
      </c>
      <c r="N6" s="16">
        <f>1110+2300+3100+775</f>
        <v>7285</v>
      </c>
      <c r="O6" s="16">
        <f>840+1700+2300+575</f>
        <v>5415</v>
      </c>
      <c r="P6" s="16">
        <v>15000</v>
      </c>
      <c r="R6" s="15" t="s">
        <v>90</v>
      </c>
      <c r="S6" s="16">
        <v>1000</v>
      </c>
    </row>
    <row r="7" spans="2:19">
      <c r="E7" t="s">
        <v>91</v>
      </c>
      <c r="F7">
        <v>5</v>
      </c>
      <c r="G7" s="15" t="s">
        <v>92</v>
      </c>
      <c r="H7" s="16">
        <f>3360+7000+9300+11200</f>
        <v>30860</v>
      </c>
      <c r="I7" s="16">
        <f>5040+10500+14000+16800</f>
        <v>46340</v>
      </c>
      <c r="J7" s="16">
        <f>2400+5000+6700+8000</f>
        <v>22100</v>
      </c>
      <c r="K7" s="16">
        <f>1350+2800+3800+8000</f>
        <v>15950</v>
      </c>
      <c r="L7" s="16">
        <f>1050+2200+2900+3500</f>
        <v>9650</v>
      </c>
      <c r="M7" s="16">
        <f>720+1500+2000+2400</f>
        <v>6620</v>
      </c>
      <c r="N7" s="16">
        <f>1110+2300+3100+3700</f>
        <v>10210</v>
      </c>
      <c r="O7" s="16">
        <f>840+1700+2300+2800</f>
        <v>7640</v>
      </c>
      <c r="P7" s="16">
        <v>15000</v>
      </c>
      <c r="R7" s="15" t="s">
        <v>46</v>
      </c>
      <c r="S7" s="16">
        <v>1000</v>
      </c>
    </row>
    <row r="8" spans="2:19">
      <c r="E8" t="s">
        <v>93</v>
      </c>
      <c r="F8">
        <v>6</v>
      </c>
      <c r="G8" s="15" t="s">
        <v>94</v>
      </c>
      <c r="H8" s="16">
        <f>7000</f>
        <v>7000</v>
      </c>
      <c r="I8" s="16">
        <f>10500</f>
        <v>10500</v>
      </c>
      <c r="J8" s="16">
        <f>5000</f>
        <v>5000</v>
      </c>
      <c r="K8" s="16">
        <f>2800</f>
        <v>2800</v>
      </c>
      <c r="L8" s="16">
        <f>2200</f>
        <v>2200</v>
      </c>
      <c r="M8" s="16">
        <f>1500</f>
        <v>1500</v>
      </c>
      <c r="N8" s="16">
        <f>2300</f>
        <v>2300</v>
      </c>
      <c r="O8" s="16">
        <f>1700</f>
        <v>1700</v>
      </c>
      <c r="P8" s="16">
        <v>15000</v>
      </c>
      <c r="R8" s="15" t="s">
        <v>47</v>
      </c>
      <c r="S8" s="16">
        <v>1000</v>
      </c>
    </row>
    <row r="9" spans="2:19">
      <c r="E9" t="s">
        <v>95</v>
      </c>
      <c r="F9">
        <v>7</v>
      </c>
      <c r="G9" s="15" t="s">
        <v>96</v>
      </c>
      <c r="H9" s="16">
        <f>7000+2333</f>
        <v>9333</v>
      </c>
      <c r="I9" s="16">
        <f>10500+3500</f>
        <v>14000</v>
      </c>
      <c r="J9" s="16">
        <f>5000+1666</f>
        <v>6666</v>
      </c>
      <c r="K9" s="16">
        <f>2800+933</f>
        <v>3733</v>
      </c>
      <c r="L9" s="16">
        <f>2200+733</f>
        <v>2933</v>
      </c>
      <c r="M9" s="16">
        <f>1500+500</f>
        <v>2000</v>
      </c>
      <c r="N9" s="16">
        <f>2300+766</f>
        <v>3066</v>
      </c>
      <c r="O9" s="16">
        <f>1700+566</f>
        <v>2266</v>
      </c>
      <c r="P9" s="16">
        <v>15000</v>
      </c>
      <c r="R9" s="15" t="s">
        <v>42</v>
      </c>
      <c r="S9" s="16">
        <v>1000</v>
      </c>
    </row>
    <row r="10" spans="2:19">
      <c r="E10" t="s">
        <v>97</v>
      </c>
      <c r="F10">
        <v>8</v>
      </c>
      <c r="G10" s="15" t="s">
        <v>98</v>
      </c>
      <c r="H10" s="16">
        <f>7000+9300</f>
        <v>16300</v>
      </c>
      <c r="I10" s="16">
        <f>10500+14000</f>
        <v>24500</v>
      </c>
      <c r="J10" s="16">
        <f>5000+6700</f>
        <v>11700</v>
      </c>
      <c r="K10" s="16">
        <f>2800+3800</f>
        <v>6600</v>
      </c>
      <c r="L10" s="16">
        <f>2200+2900</f>
        <v>5100</v>
      </c>
      <c r="M10" s="16">
        <f>1500+2000</f>
        <v>3500</v>
      </c>
      <c r="N10" s="16">
        <f>2300+3100</f>
        <v>5400</v>
      </c>
      <c r="O10" s="16">
        <f>1700+2300</f>
        <v>4000</v>
      </c>
      <c r="P10" s="16">
        <v>15000</v>
      </c>
      <c r="R10" s="15" t="s">
        <v>99</v>
      </c>
      <c r="S10" s="16">
        <v>1000</v>
      </c>
    </row>
    <row r="11" spans="2:19">
      <c r="E11" t="s">
        <v>41</v>
      </c>
      <c r="F11">
        <v>9</v>
      </c>
      <c r="G11" s="15" t="s">
        <v>100</v>
      </c>
      <c r="H11" s="16">
        <f>7000+9300+2325</f>
        <v>18625</v>
      </c>
      <c r="I11" s="16">
        <f>10500+14000+3500</f>
        <v>28000</v>
      </c>
      <c r="J11" s="16">
        <f>5000+6700+1675</f>
        <v>13375</v>
      </c>
      <c r="K11" s="16">
        <f>2800+3800+950</f>
        <v>7550</v>
      </c>
      <c r="L11" s="16">
        <f>2200+2900+725</f>
        <v>5825</v>
      </c>
      <c r="M11" s="16">
        <f>1500+2000+500</f>
        <v>4000</v>
      </c>
      <c r="N11" s="16">
        <f>2300+3100+775</f>
        <v>6175</v>
      </c>
      <c r="O11" s="16">
        <f>1700+2300+575</f>
        <v>4575</v>
      </c>
      <c r="P11" s="16">
        <v>15000</v>
      </c>
      <c r="R11" s="15" t="s">
        <v>101</v>
      </c>
      <c r="S11" s="16">
        <v>100</v>
      </c>
    </row>
    <row r="12" spans="2:19">
      <c r="E12" t="s">
        <v>102</v>
      </c>
      <c r="F12">
        <v>10</v>
      </c>
      <c r="G12" s="15" t="s">
        <v>53</v>
      </c>
      <c r="H12" s="16">
        <f>7000+9300+11200</f>
        <v>27500</v>
      </c>
      <c r="I12" s="16">
        <f>10500+14000+16800</f>
        <v>41300</v>
      </c>
      <c r="J12" s="16">
        <f>5000+6700+8000</f>
        <v>19700</v>
      </c>
      <c r="K12" s="16">
        <f>2800+3800+4500</f>
        <v>11100</v>
      </c>
      <c r="L12" s="16">
        <f>2200+2900+3500</f>
        <v>8600</v>
      </c>
      <c r="M12" s="16">
        <f>1500+2000+2400</f>
        <v>5900</v>
      </c>
      <c r="N12" s="16">
        <f>2300+3100+3700</f>
        <v>9100</v>
      </c>
      <c r="O12" s="16">
        <f>1700+2300+2800</f>
        <v>6800</v>
      </c>
      <c r="P12" s="16">
        <v>15000</v>
      </c>
      <c r="R12" s="15" t="s">
        <v>103</v>
      </c>
      <c r="S12" s="16">
        <v>1000</v>
      </c>
    </row>
    <row r="13" spans="2:19">
      <c r="E13" t="s">
        <v>104</v>
      </c>
      <c r="F13">
        <v>11</v>
      </c>
      <c r="G13" s="15" t="s">
        <v>105</v>
      </c>
      <c r="H13" s="16">
        <f>2325+9300</f>
        <v>11625</v>
      </c>
      <c r="I13" s="16">
        <f>3500+14000</f>
        <v>17500</v>
      </c>
      <c r="J13" s="16">
        <f>1675+6700</f>
        <v>8375</v>
      </c>
      <c r="K13" s="16">
        <f>950+3800</f>
        <v>4750</v>
      </c>
      <c r="L13" s="16">
        <f>725+2900</f>
        <v>3625</v>
      </c>
      <c r="M13" s="16">
        <f>500+2000</f>
        <v>2500</v>
      </c>
      <c r="N13" s="16">
        <f>775+3100</f>
        <v>3875</v>
      </c>
      <c r="O13" s="16">
        <f>575+2300</f>
        <v>2875</v>
      </c>
      <c r="P13" s="16">
        <v>15000</v>
      </c>
      <c r="R13" s="15" t="s">
        <v>37</v>
      </c>
      <c r="S13" s="16">
        <v>2000</v>
      </c>
    </row>
    <row r="14" spans="2:19">
      <c r="E14" t="s">
        <v>106</v>
      </c>
      <c r="F14">
        <v>12</v>
      </c>
      <c r="G14" s="15" t="s">
        <v>107</v>
      </c>
      <c r="H14" s="16">
        <f>2325+9300+2325</f>
        <v>13950</v>
      </c>
      <c r="I14" s="16">
        <f>3500+14000+3500</f>
        <v>21000</v>
      </c>
      <c r="J14" s="16">
        <f>1675+6700+1675</f>
        <v>10050</v>
      </c>
      <c r="K14" s="16">
        <f>950+3800+950</f>
        <v>5700</v>
      </c>
      <c r="L14" s="16">
        <f>725+2900+725</f>
        <v>4350</v>
      </c>
      <c r="M14" s="16">
        <f>500+2000+500</f>
        <v>3000</v>
      </c>
      <c r="N14" s="16">
        <f>775+3100+775</f>
        <v>4650</v>
      </c>
      <c r="O14" s="16">
        <f>575+2300+575</f>
        <v>3450</v>
      </c>
      <c r="P14" s="16">
        <v>15000</v>
      </c>
      <c r="R14" s="15"/>
      <c r="S14" s="16"/>
    </row>
    <row r="15" spans="2:19">
      <c r="E15" t="s">
        <v>108</v>
      </c>
      <c r="F15">
        <v>13</v>
      </c>
      <c r="G15" s="15" t="s">
        <v>109</v>
      </c>
      <c r="H15" s="16">
        <f>2325+9300+11200</f>
        <v>22825</v>
      </c>
      <c r="I15" s="16">
        <f>3500+14000+16800</f>
        <v>34300</v>
      </c>
      <c r="J15" s="16">
        <f>1675+6700+8000</f>
        <v>16375</v>
      </c>
      <c r="K15" s="16">
        <f>950+3800+4500</f>
        <v>9250</v>
      </c>
      <c r="L15" s="16">
        <f>725+2900+3500</f>
        <v>7125</v>
      </c>
      <c r="M15" s="16">
        <f>500+2000+2400</f>
        <v>4900</v>
      </c>
      <c r="N15" s="16">
        <f>775+3100+3700</f>
        <v>7575</v>
      </c>
      <c r="O15" s="16">
        <f>575+2300+2800</f>
        <v>5675</v>
      </c>
      <c r="P15" s="16">
        <v>15000</v>
      </c>
      <c r="R15" s="15"/>
      <c r="S15" s="16"/>
    </row>
    <row r="16" spans="2:19">
      <c r="E16" t="s">
        <v>110</v>
      </c>
      <c r="F16">
        <v>14</v>
      </c>
      <c r="G16" s="15" t="s">
        <v>111</v>
      </c>
      <c r="H16" s="16">
        <f>9300</f>
        <v>9300</v>
      </c>
      <c r="I16" s="16">
        <f>14000</f>
        <v>14000</v>
      </c>
      <c r="J16" s="16">
        <f>6700</f>
        <v>6700</v>
      </c>
      <c r="K16" s="16">
        <f>3800</f>
        <v>3800</v>
      </c>
      <c r="L16" s="16">
        <f>2900</f>
        <v>2900</v>
      </c>
      <c r="M16" s="16">
        <f>2000</f>
        <v>2000</v>
      </c>
      <c r="N16" s="16">
        <f>3100</f>
        <v>3100</v>
      </c>
      <c r="O16" s="16">
        <f>2300</f>
        <v>2300</v>
      </c>
      <c r="P16" s="16">
        <v>15000</v>
      </c>
      <c r="R16" s="15"/>
      <c r="S16" s="16"/>
    </row>
    <row r="17" spans="5:19">
      <c r="E17" t="s">
        <v>112</v>
      </c>
      <c r="F17">
        <v>15</v>
      </c>
      <c r="G17" s="15" t="s">
        <v>113</v>
      </c>
      <c r="H17" s="16">
        <f>9300+2325</f>
        <v>11625</v>
      </c>
      <c r="I17" s="16">
        <f>14000+3500</f>
        <v>17500</v>
      </c>
      <c r="J17" s="16">
        <f>6700+1675</f>
        <v>8375</v>
      </c>
      <c r="K17" s="16">
        <f>3800+950</f>
        <v>4750</v>
      </c>
      <c r="L17" s="16">
        <f>2900+725</f>
        <v>3625</v>
      </c>
      <c r="M17" s="16">
        <f>2000+500</f>
        <v>2500</v>
      </c>
      <c r="N17" s="16">
        <f>3100+775</f>
        <v>3875</v>
      </c>
      <c r="O17" s="16">
        <f>2300+575</f>
        <v>2875</v>
      </c>
      <c r="P17" s="16">
        <v>15000</v>
      </c>
      <c r="R17" s="15"/>
      <c r="S17" s="16"/>
    </row>
    <row r="18" spans="5:19">
      <c r="E18" t="s">
        <v>114</v>
      </c>
      <c r="F18">
        <v>16</v>
      </c>
      <c r="G18" s="15" t="s">
        <v>115</v>
      </c>
      <c r="H18" s="16">
        <f>9300+11200</f>
        <v>20500</v>
      </c>
      <c r="I18" s="16">
        <f>14000+16800</f>
        <v>30800</v>
      </c>
      <c r="J18" s="16">
        <f>6700+8000</f>
        <v>14700</v>
      </c>
      <c r="K18" s="16">
        <f>3800+4500</f>
        <v>8300</v>
      </c>
      <c r="L18" s="16">
        <f>2900+3500</f>
        <v>6400</v>
      </c>
      <c r="M18" s="16">
        <f>2000+2400</f>
        <v>4400</v>
      </c>
      <c r="N18" s="16">
        <f>3100+3700</f>
        <v>6800</v>
      </c>
      <c r="O18" s="16">
        <f>2300+2800</f>
        <v>5100</v>
      </c>
      <c r="P18" s="16">
        <v>15000</v>
      </c>
    </row>
    <row r="19" spans="5:19">
      <c r="E19" t="s">
        <v>116</v>
      </c>
      <c r="F19">
        <v>17</v>
      </c>
      <c r="G19" s="15" t="s">
        <v>117</v>
      </c>
      <c r="H19" s="16">
        <f>3200+11200</f>
        <v>14400</v>
      </c>
      <c r="I19" s="16">
        <f>4800+16800</f>
        <v>21600</v>
      </c>
      <c r="J19" s="16">
        <f>2285+8000</f>
        <v>10285</v>
      </c>
      <c r="K19" s="16">
        <f>1285+4500</f>
        <v>5785</v>
      </c>
      <c r="L19" s="16">
        <f>1000+3500</f>
        <v>4500</v>
      </c>
      <c r="M19" s="16">
        <f>685+2400</f>
        <v>3085</v>
      </c>
      <c r="N19" s="16">
        <f>1057+3700</f>
        <v>4757</v>
      </c>
      <c r="O19" s="16">
        <f>800+2800</f>
        <v>3600</v>
      </c>
      <c r="P19" s="16">
        <v>15000</v>
      </c>
    </row>
    <row r="20" spans="5:19">
      <c r="E20" t="s">
        <v>118</v>
      </c>
      <c r="F20">
        <v>18</v>
      </c>
      <c r="G20" s="15" t="s">
        <v>119</v>
      </c>
      <c r="H20" s="16">
        <f>11200</f>
        <v>11200</v>
      </c>
      <c r="I20" s="16">
        <f>16800</f>
        <v>16800</v>
      </c>
      <c r="J20" s="16">
        <f>8000</f>
        <v>8000</v>
      </c>
      <c r="K20" s="16">
        <f>4500</f>
        <v>4500</v>
      </c>
      <c r="L20" s="16">
        <f>3500</f>
        <v>3500</v>
      </c>
      <c r="M20" s="16">
        <f>2400</f>
        <v>2400</v>
      </c>
      <c r="N20" s="16">
        <f>3700</f>
        <v>3700</v>
      </c>
      <c r="O20" s="16">
        <f>2800</f>
        <v>2800</v>
      </c>
      <c r="P20" s="16">
        <v>15000</v>
      </c>
      <c r="R20" t="s">
        <v>120</v>
      </c>
    </row>
    <row r="21" spans="5:19">
      <c r="E21" t="s">
        <v>121</v>
      </c>
      <c r="F21">
        <v>19</v>
      </c>
      <c r="G21" s="15"/>
      <c r="H21" s="15"/>
      <c r="I21" s="15"/>
      <c r="J21" s="15"/>
      <c r="K21" s="15"/>
      <c r="L21" s="15"/>
      <c r="M21" s="15"/>
      <c r="N21" s="15"/>
      <c r="O21" s="15"/>
      <c r="P21" s="15"/>
      <c r="R21" s="15" t="s">
        <v>42</v>
      </c>
      <c r="S21" s="16">
        <v>1000</v>
      </c>
    </row>
    <row r="22" spans="5:19">
      <c r="E22" t="s">
        <v>122</v>
      </c>
      <c r="F22">
        <v>20</v>
      </c>
      <c r="G22" s="15" t="s">
        <v>72</v>
      </c>
      <c r="H22" s="16">
        <v>0</v>
      </c>
      <c r="I22" s="16">
        <v>0</v>
      </c>
      <c r="J22" s="16">
        <v>0</v>
      </c>
      <c r="K22" s="16">
        <v>0</v>
      </c>
      <c r="L22" s="16">
        <v>0</v>
      </c>
      <c r="M22" s="16">
        <v>0</v>
      </c>
      <c r="N22" s="16">
        <v>0</v>
      </c>
      <c r="O22" s="16">
        <v>0</v>
      </c>
      <c r="P22" s="16">
        <v>0</v>
      </c>
      <c r="R22" s="15" t="s">
        <v>44</v>
      </c>
      <c r="S22" s="16">
        <v>1000</v>
      </c>
    </row>
    <row r="23" spans="5:19">
      <c r="E23" t="s">
        <v>123</v>
      </c>
      <c r="F23">
        <v>21</v>
      </c>
      <c r="G23" s="15" t="s">
        <v>78</v>
      </c>
      <c r="H23" s="16">
        <f>3360+14000</f>
        <v>17360</v>
      </c>
      <c r="I23" s="16">
        <f>5040+21000</f>
        <v>26040</v>
      </c>
      <c r="J23" s="16">
        <f>2400+10000</f>
        <v>12400</v>
      </c>
      <c r="K23" s="16">
        <f>1350+5600</f>
        <v>6950</v>
      </c>
      <c r="L23" s="16">
        <f>1050+4400</f>
        <v>5450</v>
      </c>
      <c r="M23" s="16">
        <f>720+3000</f>
        <v>3720</v>
      </c>
      <c r="N23" s="16">
        <f>1110+4600</f>
        <v>5710</v>
      </c>
      <c r="O23" s="16">
        <f>840+3400</f>
        <v>4240</v>
      </c>
      <c r="P23" s="16">
        <v>30000</v>
      </c>
      <c r="R23" s="15" t="s">
        <v>90</v>
      </c>
      <c r="S23" s="16">
        <v>1000</v>
      </c>
    </row>
    <row r="24" spans="5:19">
      <c r="E24" t="s">
        <v>124</v>
      </c>
      <c r="F24">
        <v>22</v>
      </c>
      <c r="G24" s="15" t="s">
        <v>83</v>
      </c>
      <c r="H24" s="16">
        <f>3360+14000+2333</f>
        <v>19693</v>
      </c>
      <c r="I24" s="16">
        <f>5040+21000+3500</f>
        <v>29540</v>
      </c>
      <c r="J24" s="16">
        <f>2400+10000+1666</f>
        <v>14066</v>
      </c>
      <c r="K24" s="16">
        <f>1350+5600+933</f>
        <v>7883</v>
      </c>
      <c r="L24" s="16">
        <f>1050+4400+733</f>
        <v>6183</v>
      </c>
      <c r="M24" s="16">
        <f>720+3000+500</f>
        <v>4220</v>
      </c>
      <c r="N24" s="16">
        <f>1110+4600+766</f>
        <v>6476</v>
      </c>
      <c r="O24" s="16">
        <f>840+3400+566</f>
        <v>4806</v>
      </c>
      <c r="P24" s="16">
        <v>30000</v>
      </c>
      <c r="R24" s="15" t="s">
        <v>45</v>
      </c>
      <c r="S24" s="16">
        <v>1000</v>
      </c>
    </row>
    <row r="25" spans="5:19">
      <c r="E25" t="s">
        <v>125</v>
      </c>
      <c r="F25">
        <v>23</v>
      </c>
      <c r="G25" s="15" t="s">
        <v>86</v>
      </c>
      <c r="H25" s="16">
        <f>3360+14000+18600</f>
        <v>35960</v>
      </c>
      <c r="I25" s="16">
        <f>5040+21000+28000</f>
        <v>54040</v>
      </c>
      <c r="J25" s="16">
        <f>2400+10000+13400</f>
        <v>25800</v>
      </c>
      <c r="K25" s="16">
        <f>1350+5600+7600</f>
        <v>14550</v>
      </c>
      <c r="L25" s="16">
        <f>1050+4400+5800</f>
        <v>11250</v>
      </c>
      <c r="M25" s="16">
        <f>720+3000+4000</f>
        <v>7720</v>
      </c>
      <c r="N25" s="16">
        <f>1110+4600+6200</f>
        <v>11910</v>
      </c>
      <c r="O25" s="16">
        <f>840+3400+4600</f>
        <v>8840</v>
      </c>
      <c r="P25" s="16">
        <v>30000</v>
      </c>
      <c r="R25" s="15" t="s">
        <v>126</v>
      </c>
      <c r="S25" s="16">
        <v>1000</v>
      </c>
    </row>
    <row r="26" spans="5:19">
      <c r="E26" t="s">
        <v>127</v>
      </c>
      <c r="F26">
        <v>24</v>
      </c>
      <c r="G26" s="15" t="s">
        <v>89</v>
      </c>
      <c r="H26" s="16">
        <f>3360+14000+18600+2325</f>
        <v>38285</v>
      </c>
      <c r="I26" s="16">
        <f>5040+21000+28000+3500</f>
        <v>57540</v>
      </c>
      <c r="J26" s="16">
        <f>2400+10000+13400+1675</f>
        <v>27475</v>
      </c>
      <c r="K26" s="16">
        <f>1350+5600+7600+950</f>
        <v>15500</v>
      </c>
      <c r="L26" s="16">
        <f>1050+4400+5800+725</f>
        <v>11975</v>
      </c>
      <c r="M26" s="16">
        <f>720+3000+4000+500</f>
        <v>8220</v>
      </c>
      <c r="N26" s="16">
        <f>1110+4600+6200+775</f>
        <v>12685</v>
      </c>
      <c r="O26" s="16">
        <f>840+3400+4600+575</f>
        <v>9415</v>
      </c>
      <c r="P26" s="16">
        <v>30000</v>
      </c>
      <c r="R26" s="15" t="s">
        <v>103</v>
      </c>
      <c r="S26" s="16">
        <v>1000</v>
      </c>
    </row>
    <row r="27" spans="5:19">
      <c r="G27" s="15" t="s">
        <v>92</v>
      </c>
      <c r="H27" s="16">
        <f>3360+14000+18600+22400</f>
        <v>58360</v>
      </c>
      <c r="I27" s="16">
        <f>5040+21000+28000+33600</f>
        <v>87640</v>
      </c>
      <c r="J27" s="16">
        <f>2400+10000+13400+16000</f>
        <v>41800</v>
      </c>
      <c r="K27" s="16">
        <f>1350+5600+7600+9000</f>
        <v>23550</v>
      </c>
      <c r="L27" s="16">
        <f>1050+4400+5800+7000</f>
        <v>18250</v>
      </c>
      <c r="M27" s="16">
        <f>720+3000+4000+4800</f>
        <v>12520</v>
      </c>
      <c r="N27" s="16">
        <f>1110+4600+6200+7400</f>
        <v>19310</v>
      </c>
      <c r="O27" s="16">
        <f>840+3400+4600+5600</f>
        <v>14440</v>
      </c>
      <c r="P27" s="16">
        <v>30000</v>
      </c>
      <c r="R27" s="15"/>
      <c r="S27" s="16"/>
    </row>
    <row r="28" spans="5:19">
      <c r="G28" s="15" t="s">
        <v>94</v>
      </c>
      <c r="H28" s="16">
        <f>14000</f>
        <v>14000</v>
      </c>
      <c r="I28" s="16">
        <f>21000</f>
        <v>21000</v>
      </c>
      <c r="J28" s="16">
        <f>10000</f>
        <v>10000</v>
      </c>
      <c r="K28" s="16">
        <f>5600</f>
        <v>5600</v>
      </c>
      <c r="L28" s="16">
        <f>4400</f>
        <v>4400</v>
      </c>
      <c r="M28" s="16">
        <f>3000</f>
        <v>3000</v>
      </c>
      <c r="N28" s="16">
        <f>4600</f>
        <v>4600</v>
      </c>
      <c r="O28" s="16">
        <f>3400</f>
        <v>3400</v>
      </c>
      <c r="P28" s="16">
        <v>30000</v>
      </c>
      <c r="R28" s="15"/>
      <c r="S28" s="16"/>
    </row>
    <row r="29" spans="5:19">
      <c r="G29" s="15" t="s">
        <v>96</v>
      </c>
      <c r="H29" s="16">
        <f>14000+2333</f>
        <v>16333</v>
      </c>
      <c r="I29" s="16">
        <f>21000+3500</f>
        <v>24500</v>
      </c>
      <c r="J29" s="16">
        <f>10000+1666</f>
        <v>11666</v>
      </c>
      <c r="K29" s="16">
        <f>5600+933</f>
        <v>6533</v>
      </c>
      <c r="L29" s="16">
        <f>4400+733</f>
        <v>5133</v>
      </c>
      <c r="M29" s="16">
        <f>3000+500</f>
        <v>3500</v>
      </c>
      <c r="N29" s="16">
        <f>4600+766</f>
        <v>5366</v>
      </c>
      <c r="O29" s="16">
        <f>3400+566</f>
        <v>3966</v>
      </c>
      <c r="P29" s="16">
        <v>30000</v>
      </c>
      <c r="R29" s="15"/>
      <c r="S29" s="16"/>
    </row>
    <row r="30" spans="5:19">
      <c r="G30" s="15" t="s">
        <v>98</v>
      </c>
      <c r="H30" s="16">
        <f>14000+18600</f>
        <v>32600</v>
      </c>
      <c r="I30" s="16">
        <f>21000+28000</f>
        <v>49000</v>
      </c>
      <c r="J30" s="16">
        <f>10000+13400</f>
        <v>23400</v>
      </c>
      <c r="K30" s="16">
        <f>5600+7600</f>
        <v>13200</v>
      </c>
      <c r="L30" s="16">
        <f>4400+5800</f>
        <v>10200</v>
      </c>
      <c r="M30" s="16">
        <f>3000+4000</f>
        <v>7000</v>
      </c>
      <c r="N30" s="16">
        <f>4600+6200</f>
        <v>10800</v>
      </c>
      <c r="O30" s="16">
        <f>3400+4600</f>
        <v>8000</v>
      </c>
      <c r="P30" s="16">
        <v>30000</v>
      </c>
    </row>
    <row r="31" spans="5:19">
      <c r="G31" s="15" t="s">
        <v>100</v>
      </c>
      <c r="H31" s="16">
        <f>14000+18600+2325</f>
        <v>34925</v>
      </c>
      <c r="I31" s="16">
        <f>21000+28000+3500</f>
        <v>52500</v>
      </c>
      <c r="J31" s="16">
        <f>10000+13400+1675</f>
        <v>25075</v>
      </c>
      <c r="K31" s="16">
        <f>5600+7600+950</f>
        <v>14150</v>
      </c>
      <c r="L31" s="16">
        <f>4400+5800+725</f>
        <v>10925</v>
      </c>
      <c r="M31" s="16">
        <f>3000+4000+500</f>
        <v>7500</v>
      </c>
      <c r="N31" s="16">
        <f>4600+6200+775</f>
        <v>11575</v>
      </c>
      <c r="O31" s="16">
        <f>3400+4600+575</f>
        <v>8575</v>
      </c>
      <c r="P31" s="16">
        <v>30000</v>
      </c>
    </row>
    <row r="32" spans="5:19">
      <c r="G32" s="15" t="s">
        <v>53</v>
      </c>
      <c r="H32" s="16">
        <f>14000+18600+22400</f>
        <v>55000</v>
      </c>
      <c r="I32" s="16">
        <f>21000+28000+33600</f>
        <v>82600</v>
      </c>
      <c r="J32" s="16">
        <f>10000+13400+16000</f>
        <v>39400</v>
      </c>
      <c r="K32" s="16">
        <f>5600+7600+9000</f>
        <v>22200</v>
      </c>
      <c r="L32" s="16">
        <f>4400+5800+7000</f>
        <v>17200</v>
      </c>
      <c r="M32" s="16">
        <f>3000+4000+4800</f>
        <v>11800</v>
      </c>
      <c r="N32" s="16">
        <f>4600+6200+7400</f>
        <v>18200</v>
      </c>
      <c r="O32" s="16">
        <f>3400+4600+5600</f>
        <v>13600</v>
      </c>
      <c r="P32" s="16">
        <v>30000</v>
      </c>
      <c r="R32" t="s">
        <v>128</v>
      </c>
    </row>
    <row r="33" spans="7:19">
      <c r="G33" s="15" t="s">
        <v>105</v>
      </c>
      <c r="H33" s="16">
        <f>2325+18600</f>
        <v>20925</v>
      </c>
      <c r="I33" s="16">
        <f>3500+28000</f>
        <v>31500</v>
      </c>
      <c r="J33" s="16">
        <f>1675+13400</f>
        <v>15075</v>
      </c>
      <c r="K33" s="16">
        <f>950+7600</f>
        <v>8550</v>
      </c>
      <c r="L33" s="16">
        <f>725+5800</f>
        <v>6525</v>
      </c>
      <c r="M33" s="16">
        <f>500+4000</f>
        <v>4500</v>
      </c>
      <c r="N33" s="16">
        <f>775+6200</f>
        <v>6975</v>
      </c>
      <c r="O33" s="16">
        <f>575+4600</f>
        <v>5175</v>
      </c>
      <c r="P33" s="16">
        <v>30000</v>
      </c>
      <c r="R33" s="15" t="s">
        <v>43</v>
      </c>
      <c r="S33" s="16">
        <v>1000</v>
      </c>
    </row>
    <row r="34" spans="7:19">
      <c r="G34" s="15" t="s">
        <v>107</v>
      </c>
      <c r="H34" s="16">
        <f>2325+18600+2325</f>
        <v>23250</v>
      </c>
      <c r="I34" s="16">
        <f>3500+28000+3500</f>
        <v>35000</v>
      </c>
      <c r="J34" s="16">
        <f>1675+13400+1675</f>
        <v>16750</v>
      </c>
      <c r="K34" s="16">
        <f>950+7600+950</f>
        <v>9500</v>
      </c>
      <c r="L34" s="16">
        <f>725+5800+725</f>
        <v>7250</v>
      </c>
      <c r="M34" s="16">
        <f>500+4000+500</f>
        <v>5000</v>
      </c>
      <c r="N34" s="16">
        <f>775+6200+775</f>
        <v>7750</v>
      </c>
      <c r="O34" s="16">
        <f>575+4600+575</f>
        <v>5750</v>
      </c>
      <c r="P34" s="16">
        <v>30000</v>
      </c>
      <c r="R34" s="15" t="s">
        <v>90</v>
      </c>
      <c r="S34" s="16">
        <v>1000</v>
      </c>
    </row>
    <row r="35" spans="7:19">
      <c r="G35" s="15" t="s">
        <v>109</v>
      </c>
      <c r="H35" s="16">
        <f>2325+18600+22400</f>
        <v>43325</v>
      </c>
      <c r="I35" s="16">
        <f>3500+28000+33600</f>
        <v>65100</v>
      </c>
      <c r="J35" s="16">
        <f>1675+13400+16000</f>
        <v>31075</v>
      </c>
      <c r="K35" s="16">
        <f>950+7600+9000</f>
        <v>17550</v>
      </c>
      <c r="L35" s="16">
        <f>725+5800+7000</f>
        <v>13525</v>
      </c>
      <c r="M35" s="16">
        <f>500+4000+4800</f>
        <v>9300</v>
      </c>
      <c r="N35" s="16">
        <f>775+6200+7400</f>
        <v>14375</v>
      </c>
      <c r="O35" s="16">
        <f>575+4600+5600</f>
        <v>10775</v>
      </c>
      <c r="P35" s="16">
        <v>30000</v>
      </c>
      <c r="R35" s="15" t="s">
        <v>45</v>
      </c>
      <c r="S35" s="16">
        <v>1000</v>
      </c>
    </row>
    <row r="36" spans="7:19">
      <c r="G36" s="15" t="s">
        <v>111</v>
      </c>
      <c r="H36" s="16">
        <f>18600</f>
        <v>18600</v>
      </c>
      <c r="I36" s="16">
        <f>28000</f>
        <v>28000</v>
      </c>
      <c r="J36" s="16">
        <f>13400</f>
        <v>13400</v>
      </c>
      <c r="K36" s="16">
        <f>7600</f>
        <v>7600</v>
      </c>
      <c r="L36" s="16">
        <f>5800</f>
        <v>5800</v>
      </c>
      <c r="M36" s="16">
        <f>4000</f>
        <v>4000</v>
      </c>
      <c r="N36" s="16">
        <f>6200</f>
        <v>6200</v>
      </c>
      <c r="O36" s="16">
        <f>4600</f>
        <v>4600</v>
      </c>
      <c r="P36" s="16">
        <v>30000</v>
      </c>
      <c r="R36" s="15" t="s">
        <v>126</v>
      </c>
      <c r="S36" s="16">
        <v>1000</v>
      </c>
    </row>
    <row r="37" spans="7:19">
      <c r="G37" s="15" t="s">
        <v>113</v>
      </c>
      <c r="H37" s="16">
        <f>18600+2325</f>
        <v>20925</v>
      </c>
      <c r="I37" s="16">
        <f>28000+3500</f>
        <v>31500</v>
      </c>
      <c r="J37" s="16">
        <f>13400+1675</f>
        <v>15075</v>
      </c>
      <c r="K37" s="16">
        <f>7600+950</f>
        <v>8550</v>
      </c>
      <c r="L37" s="16">
        <f>5800+725</f>
        <v>6525</v>
      </c>
      <c r="M37" s="16">
        <f>4000+500</f>
        <v>4500</v>
      </c>
      <c r="N37" s="16">
        <f>6200+775</f>
        <v>6975</v>
      </c>
      <c r="O37" s="16">
        <f>4600+575</f>
        <v>5175</v>
      </c>
      <c r="P37" s="16">
        <v>30000</v>
      </c>
      <c r="R37" s="15" t="s">
        <v>103</v>
      </c>
      <c r="S37" s="16">
        <v>1000</v>
      </c>
    </row>
    <row r="38" spans="7:19">
      <c r="G38" s="15" t="s">
        <v>115</v>
      </c>
      <c r="H38" s="16">
        <f>18600+22400</f>
        <v>41000</v>
      </c>
      <c r="I38" s="16">
        <f>28000+33600</f>
        <v>61600</v>
      </c>
      <c r="J38" s="16">
        <f>13400+16000</f>
        <v>29400</v>
      </c>
      <c r="K38" s="16">
        <f>7600+9000</f>
        <v>16600</v>
      </c>
      <c r="L38" s="16">
        <f>5800+7000</f>
        <v>12800</v>
      </c>
      <c r="M38" s="16">
        <f>4000+4800</f>
        <v>8800</v>
      </c>
      <c r="N38" s="16">
        <f>6200+7400</f>
        <v>13600</v>
      </c>
      <c r="O38" s="16">
        <f>4600+5600</f>
        <v>10200</v>
      </c>
      <c r="P38" s="16">
        <v>30000</v>
      </c>
      <c r="R38" s="15"/>
      <c r="S38" s="16"/>
    </row>
    <row r="39" spans="7:19">
      <c r="G39" s="15" t="s">
        <v>117</v>
      </c>
      <c r="H39" s="16">
        <f>3200+22400</f>
        <v>25600</v>
      </c>
      <c r="I39" s="16">
        <f>4800+33600</f>
        <v>38400</v>
      </c>
      <c r="J39" s="16">
        <f>2285+16000</f>
        <v>18285</v>
      </c>
      <c r="K39" s="16">
        <f>1285+9000</f>
        <v>10285</v>
      </c>
      <c r="L39" s="16">
        <f>1000+7000</f>
        <v>8000</v>
      </c>
      <c r="M39" s="16">
        <f>685+4800</f>
        <v>5485</v>
      </c>
      <c r="N39" s="16">
        <f>1057+7400</f>
        <v>8457</v>
      </c>
      <c r="O39" s="16">
        <f>800+5600</f>
        <v>6400</v>
      </c>
      <c r="P39" s="16">
        <v>30000</v>
      </c>
      <c r="R39" s="15"/>
      <c r="S39" s="16"/>
    </row>
    <row r="40" spans="7:19">
      <c r="G40" s="15" t="s">
        <v>119</v>
      </c>
      <c r="H40" s="16">
        <f>22400</f>
        <v>22400</v>
      </c>
      <c r="I40" s="16">
        <f>33600</f>
        <v>33600</v>
      </c>
      <c r="J40" s="16">
        <f>16000</f>
        <v>16000</v>
      </c>
      <c r="K40" s="16">
        <f>9000</f>
        <v>9000</v>
      </c>
      <c r="L40" s="16">
        <f>7000</f>
        <v>7000</v>
      </c>
      <c r="M40" s="16">
        <f>4800</f>
        <v>4800</v>
      </c>
      <c r="N40" s="16">
        <f>7400</f>
        <v>7400</v>
      </c>
      <c r="O40" s="16">
        <f>5600</f>
        <v>5600</v>
      </c>
      <c r="P40" s="16">
        <v>30000</v>
      </c>
      <c r="R40" s="15"/>
      <c r="S40" s="16"/>
    </row>
    <row r="43" spans="7:19">
      <c r="R43" t="s">
        <v>129</v>
      </c>
    </row>
    <row r="44" spans="7:19">
      <c r="R44" s="15" t="s">
        <v>130</v>
      </c>
      <c r="S44" s="16">
        <v>50</v>
      </c>
    </row>
    <row r="45" spans="7:19">
      <c r="R45" s="15" t="s">
        <v>131</v>
      </c>
      <c r="S45" s="16">
        <v>100</v>
      </c>
    </row>
    <row r="46" spans="7:19">
      <c r="R46" s="15" t="s">
        <v>132</v>
      </c>
      <c r="S46" s="16">
        <v>100</v>
      </c>
    </row>
    <row r="47" spans="7:19">
      <c r="R47" s="15" t="s">
        <v>133</v>
      </c>
      <c r="S47" s="16">
        <v>300</v>
      </c>
    </row>
    <row r="48" spans="7:19">
      <c r="R48" s="15" t="s">
        <v>134</v>
      </c>
      <c r="S48" s="16">
        <v>2500</v>
      </c>
    </row>
    <row r="49" spans="18:19">
      <c r="R49" s="15" t="s">
        <v>135</v>
      </c>
      <c r="S49" s="16">
        <v>1000</v>
      </c>
    </row>
    <row r="50" spans="18:19">
      <c r="R50" s="15" t="s">
        <v>136</v>
      </c>
      <c r="S50" s="16">
        <v>100</v>
      </c>
    </row>
    <row r="51" spans="18:19">
      <c r="R51" s="15" t="s">
        <v>49</v>
      </c>
      <c r="S51" s="16">
        <v>1000</v>
      </c>
    </row>
    <row r="52" spans="18:19">
      <c r="R52" s="15" t="s">
        <v>137</v>
      </c>
      <c r="S52" s="16">
        <v>1000</v>
      </c>
    </row>
    <row r="53" spans="18:19">
      <c r="R53" s="15" t="s">
        <v>50</v>
      </c>
      <c r="S53" s="16">
        <v>1000</v>
      </c>
    </row>
    <row r="54" spans="18:19">
      <c r="R54" s="15" t="s">
        <v>138</v>
      </c>
      <c r="S54" s="16">
        <v>200</v>
      </c>
    </row>
    <row r="55" spans="18:19">
      <c r="R55" s="15" t="s">
        <v>139</v>
      </c>
      <c r="S55" s="16">
        <v>300</v>
      </c>
    </row>
    <row r="56" spans="18:19">
      <c r="R56" s="15" t="s">
        <v>140</v>
      </c>
      <c r="S56" s="16">
        <v>100</v>
      </c>
    </row>
    <row r="57" spans="18:19">
      <c r="R57" s="15"/>
      <c r="S57" s="16"/>
    </row>
    <row r="58" spans="18:19">
      <c r="R58" s="15"/>
      <c r="S58" s="16"/>
    </row>
    <row r="59" spans="18:19">
      <c r="R59" s="15"/>
      <c r="S59" s="16"/>
    </row>
    <row r="60" spans="18:19">
      <c r="R60" s="15"/>
      <c r="S60" s="16"/>
    </row>
  </sheetData>
  <sheetProtection algorithmName="SHA-512" hashValue="6R8DRpDGU1EbWkypBDn+VRaTM8L5VyObP+uqMfCfhZFVYCDRAyNYcvTBAEqQh9HBNwPDg5so3FtI+YqWsyYjCw==" saltValue="E5yDffzDYuNkTxP0qVHtOg==" spinCount="100000" sheet="1" objects="1" scenarios="1"/>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18501-0681-4016-8F2F-83B42C2814BB}">
  <sheetPr>
    <tabColor theme="0" tint="-0.34998626667073579"/>
  </sheetPr>
  <dimension ref="A1:P213"/>
  <sheetViews>
    <sheetView topLeftCell="A169" workbookViewId="0">
      <selection activeCell="C2" sqref="C2:F2"/>
    </sheetView>
  </sheetViews>
  <sheetFormatPr defaultRowHeight="18"/>
  <cols>
    <col min="2" max="2" width="14.19921875" style="21" bestFit="1" customWidth="1"/>
    <col min="3" max="3" width="8.59765625" style="20"/>
    <col min="4" max="4" width="35" style="1" bestFit="1" customWidth="1"/>
    <col min="5" max="5" width="12.59765625" style="1" bestFit="1" customWidth="1"/>
    <col min="6" max="6" width="8.59765625" style="1"/>
    <col min="7" max="8" width="8.59765625" style="22"/>
    <col min="11" max="11" width="14.19921875" style="1" bestFit="1" customWidth="1"/>
    <col min="12" max="12" width="8.59765625" style="1"/>
    <col min="13" max="13" width="8.59765625" style="22"/>
  </cols>
  <sheetData>
    <row r="1" spans="1:16">
      <c r="D1" s="31" t="s">
        <v>54</v>
      </c>
      <c r="E1" s="32"/>
      <c r="F1" s="30"/>
      <c r="G1"/>
    </row>
    <row r="2" spans="1:16">
      <c r="D2" s="28" t="e">
        <f>IF(B9=0,"",B9)</f>
        <v>#REF!</v>
      </c>
      <c r="E2" s="29" t="e">
        <f>D2</f>
        <v>#REF!</v>
      </c>
      <c r="F2" s="30" t="e">
        <f>SUMIF($B$9:$B$213,D2,$H$9:$H$213)</f>
        <v>#REF!</v>
      </c>
      <c r="G2"/>
    </row>
    <row r="3" spans="1:16">
      <c r="D3" s="28" t="e">
        <f>IF(B50=0,"",B50)</f>
        <v>#REF!</v>
      </c>
      <c r="E3" s="29" t="e">
        <f t="shared" ref="E3:E6" si="0">D3</f>
        <v>#REF!</v>
      </c>
      <c r="F3" s="30" t="e">
        <f t="shared" ref="F3:F6" si="1">SUMIF($B$9:$B$213,D3,$H$9:$H$213)</f>
        <v>#REF!</v>
      </c>
    </row>
    <row r="4" spans="1:16">
      <c r="D4" s="28" t="e">
        <f>IF(B91=0,"",B91)</f>
        <v>#REF!</v>
      </c>
      <c r="E4" s="29" t="e">
        <f t="shared" si="0"/>
        <v>#REF!</v>
      </c>
      <c r="F4" s="30" t="e">
        <f t="shared" si="1"/>
        <v>#REF!</v>
      </c>
    </row>
    <row r="5" spans="1:16">
      <c r="D5" s="28" t="e">
        <f>IF(B132=0,"",B132)</f>
        <v>#REF!</v>
      </c>
      <c r="E5" s="29" t="e">
        <f t="shared" si="0"/>
        <v>#REF!</v>
      </c>
      <c r="F5" s="30" t="e">
        <f t="shared" si="1"/>
        <v>#REF!</v>
      </c>
    </row>
    <row r="6" spans="1:16">
      <c r="D6" s="28" t="e">
        <f>IF(B173=0,"",B173)</f>
        <v>#REF!</v>
      </c>
      <c r="E6" s="29" t="e">
        <f t="shared" si="0"/>
        <v>#REF!</v>
      </c>
      <c r="F6" s="30" t="e">
        <f t="shared" si="1"/>
        <v>#REF!</v>
      </c>
    </row>
    <row r="8" spans="1:16">
      <c r="A8" t="s">
        <v>55</v>
      </c>
      <c r="B8" s="21" t="s">
        <v>56</v>
      </c>
      <c r="C8" s="20" t="s">
        <v>57</v>
      </c>
      <c r="D8" s="1" t="s">
        <v>58</v>
      </c>
      <c r="E8" s="1" t="s">
        <v>59</v>
      </c>
      <c r="F8" s="1" t="s">
        <v>60</v>
      </c>
      <c r="G8" s="22" t="s">
        <v>61</v>
      </c>
      <c r="H8" s="22" t="s">
        <v>62</v>
      </c>
    </row>
    <row r="9" spans="1:16">
      <c r="A9">
        <v>1</v>
      </c>
      <c r="B9" s="21" t="e">
        <f>#REF!</f>
        <v>#REF!</v>
      </c>
      <c r="C9" s="20" t="e">
        <f>#REF!</f>
        <v>#REF!</v>
      </c>
      <c r="D9" s="1" t="e">
        <f>#REF!</f>
        <v>#REF!</v>
      </c>
      <c r="E9" s="1" t="e">
        <f>#REF!</f>
        <v>#REF!</v>
      </c>
      <c r="F9" s="1" t="e">
        <f>IF(E9=0,0,1)</f>
        <v>#REF!</v>
      </c>
      <c r="G9" s="22" t="e">
        <f>IF(#REF!="〇",#REF!,#REF!)</f>
        <v>#REF!</v>
      </c>
      <c r="H9" s="22" t="e">
        <f>F9*G9</f>
        <v>#REF!</v>
      </c>
      <c r="J9" s="21"/>
      <c r="K9" s="20"/>
      <c r="M9" s="1"/>
      <c r="N9" s="1"/>
      <c r="O9" s="22"/>
      <c r="P9" s="22"/>
    </row>
    <row r="10" spans="1:16">
      <c r="A10">
        <v>2</v>
      </c>
      <c r="B10" s="21" t="e">
        <f>#REF!</f>
        <v>#REF!</v>
      </c>
      <c r="C10" s="20" t="e">
        <f>#REF!</f>
        <v>#REF!</v>
      </c>
      <c r="D10" s="1" t="e">
        <f>#REF!</f>
        <v>#REF!</v>
      </c>
      <c r="E10" s="1" t="e">
        <f>#REF!</f>
        <v>#REF!</v>
      </c>
      <c r="F10" s="1" t="e">
        <f t="shared" ref="F10:F31" si="2">IF(E10=0,0,1)</f>
        <v>#REF!</v>
      </c>
      <c r="G10" s="22" t="e">
        <f>IF(#REF!="〇",#REF!,#REF!)</f>
        <v>#REF!</v>
      </c>
      <c r="H10" s="22" t="e">
        <f t="shared" ref="H10:H49" si="3">F10*G10</f>
        <v>#REF!</v>
      </c>
      <c r="J10" s="21"/>
      <c r="K10" s="20"/>
      <c r="M10" s="1"/>
      <c r="N10" s="1"/>
      <c r="O10" s="22"/>
      <c r="P10" s="22"/>
    </row>
    <row r="11" spans="1:16">
      <c r="A11">
        <v>3</v>
      </c>
      <c r="B11" s="21" t="e">
        <f>#REF!</f>
        <v>#REF!</v>
      </c>
      <c r="C11" s="20" t="e">
        <f>#REF!</f>
        <v>#REF!</v>
      </c>
      <c r="D11" s="1" t="e">
        <f>#REF!</f>
        <v>#REF!</v>
      </c>
      <c r="E11" s="1" t="e">
        <f>#REF!</f>
        <v>#REF!</v>
      </c>
      <c r="F11" s="1" t="e">
        <f t="shared" si="2"/>
        <v>#REF!</v>
      </c>
      <c r="G11" s="22" t="e">
        <f>IF(#REF!="〇",#REF!,#REF!)</f>
        <v>#REF!</v>
      </c>
      <c r="H11" s="22" t="e">
        <f t="shared" si="3"/>
        <v>#REF!</v>
      </c>
      <c r="J11" s="21"/>
      <c r="K11" s="20"/>
      <c r="M11" s="1"/>
      <c r="N11" s="1"/>
      <c r="O11" s="22"/>
      <c r="P11" s="22"/>
    </row>
    <row r="12" spans="1:16">
      <c r="A12">
        <v>4</v>
      </c>
      <c r="B12" s="21" t="e">
        <f>#REF!</f>
        <v>#REF!</v>
      </c>
      <c r="C12" s="20" t="e">
        <f>#REF!</f>
        <v>#REF!</v>
      </c>
      <c r="D12" s="1" t="e">
        <f>#REF!</f>
        <v>#REF!</v>
      </c>
      <c r="E12" s="1" t="e">
        <f>#REF!</f>
        <v>#REF!</v>
      </c>
      <c r="F12" s="1" t="e">
        <f t="shared" si="2"/>
        <v>#REF!</v>
      </c>
      <c r="G12" s="22" t="e">
        <f>IF(#REF!="〇",#REF!,#REF!)</f>
        <v>#REF!</v>
      </c>
      <c r="H12" s="22" t="e">
        <f t="shared" si="3"/>
        <v>#REF!</v>
      </c>
      <c r="J12" s="21"/>
      <c r="K12" s="20"/>
      <c r="M12" s="1"/>
      <c r="N12" s="1"/>
      <c r="O12" s="22"/>
      <c r="P12" s="22"/>
    </row>
    <row r="13" spans="1:16">
      <c r="A13">
        <v>5</v>
      </c>
      <c r="B13" s="21" t="e">
        <f>#REF!</f>
        <v>#REF!</v>
      </c>
      <c r="C13" s="20" t="e">
        <f>#REF!</f>
        <v>#REF!</v>
      </c>
      <c r="D13" s="1" t="e">
        <f>#REF!</f>
        <v>#REF!</v>
      </c>
      <c r="E13" s="1" t="e">
        <f>#REF!&amp;"～"&amp;#REF!</f>
        <v>#REF!</v>
      </c>
      <c r="F13" s="1" t="e">
        <f t="shared" si="2"/>
        <v>#REF!</v>
      </c>
      <c r="G13" s="22" t="e">
        <f>IF(#REF!="〇",#REF!,#REF!)</f>
        <v>#REF!</v>
      </c>
      <c r="H13" s="22" t="e">
        <f t="shared" si="3"/>
        <v>#REF!</v>
      </c>
      <c r="J13" s="21"/>
      <c r="K13" s="20"/>
      <c r="M13" s="1"/>
      <c r="N13" s="1"/>
      <c r="O13" s="22"/>
      <c r="P13" s="22"/>
    </row>
    <row r="14" spans="1:16">
      <c r="A14">
        <v>6</v>
      </c>
      <c r="B14" s="21" t="e">
        <f>#REF!</f>
        <v>#REF!</v>
      </c>
      <c r="C14" s="20" t="e">
        <f>#REF!</f>
        <v>#REF!</v>
      </c>
      <c r="D14" s="1" t="e">
        <f>#REF!</f>
        <v>#REF!</v>
      </c>
      <c r="E14" s="1" t="s">
        <v>63</v>
      </c>
      <c r="F14" s="1" t="e">
        <f>#REF!</f>
        <v>#REF!</v>
      </c>
      <c r="G14" s="22">
        <f>IFERROR(VLOOKUP(D14,'データ（触らない）'!$R$3:$S$17,2,FALSE),0)</f>
        <v>0</v>
      </c>
      <c r="H14" s="22" t="e">
        <f t="shared" si="3"/>
        <v>#REF!</v>
      </c>
      <c r="J14" s="21"/>
      <c r="K14" s="20"/>
      <c r="M14" s="1"/>
      <c r="N14" s="1"/>
      <c r="O14" s="22"/>
      <c r="P14" s="22"/>
    </row>
    <row r="15" spans="1:16">
      <c r="A15">
        <v>7</v>
      </c>
      <c r="B15" s="21" t="e">
        <f>#REF!</f>
        <v>#REF!</v>
      </c>
      <c r="C15" s="20" t="e">
        <f>#REF!</f>
        <v>#REF!</v>
      </c>
      <c r="D15" s="1" t="e">
        <f>#REF!</f>
        <v>#REF!</v>
      </c>
      <c r="E15" s="1" t="s">
        <v>63</v>
      </c>
      <c r="F15" s="1" t="e">
        <f>#REF!</f>
        <v>#REF!</v>
      </c>
      <c r="G15" s="22">
        <f>IFERROR(VLOOKUP(D15,'データ（触らない）'!$R$3:$S$17,2,FALSE),0)</f>
        <v>0</v>
      </c>
      <c r="H15" s="22" t="e">
        <f t="shared" si="3"/>
        <v>#REF!</v>
      </c>
      <c r="J15" s="21"/>
      <c r="K15" s="20"/>
      <c r="M15" s="1"/>
      <c r="N15" s="1"/>
      <c r="O15" s="22"/>
      <c r="P15" s="22"/>
    </row>
    <row r="16" spans="1:16">
      <c r="A16">
        <v>8</v>
      </c>
      <c r="B16" s="21" t="e">
        <f>#REF!</f>
        <v>#REF!</v>
      </c>
      <c r="C16" s="20" t="e">
        <f>#REF!</f>
        <v>#REF!</v>
      </c>
      <c r="D16" s="1" t="e">
        <f>#REF!</f>
        <v>#REF!</v>
      </c>
      <c r="E16" s="1" t="s">
        <v>63</v>
      </c>
      <c r="F16" s="1" t="e">
        <f>#REF!</f>
        <v>#REF!</v>
      </c>
      <c r="G16" s="22">
        <f>IFERROR(VLOOKUP(D16,'データ（触らない）'!$R$3:$S$17,2,FALSE),0)</f>
        <v>0</v>
      </c>
      <c r="H16" s="22" t="e">
        <f t="shared" si="3"/>
        <v>#REF!</v>
      </c>
      <c r="J16" s="21"/>
      <c r="K16" s="20"/>
      <c r="M16" s="1"/>
      <c r="N16" s="1"/>
      <c r="O16" s="22"/>
      <c r="P16" s="22"/>
    </row>
    <row r="17" spans="1:16">
      <c r="A17">
        <v>9</v>
      </c>
      <c r="B17" s="21" t="e">
        <f>#REF!</f>
        <v>#REF!</v>
      </c>
      <c r="C17" s="20" t="e">
        <f>#REF!</f>
        <v>#REF!</v>
      </c>
      <c r="D17" s="1" t="e">
        <f>#REF!</f>
        <v>#REF!</v>
      </c>
      <c r="E17" s="1" t="s">
        <v>63</v>
      </c>
      <c r="F17" s="1" t="e">
        <f>#REF!</f>
        <v>#REF!</v>
      </c>
      <c r="G17" s="22">
        <f>IFERROR(VLOOKUP(D17,'データ（触らない）'!$R$3:$S$17,2,FALSE),0)</f>
        <v>0</v>
      </c>
      <c r="H17" s="22" t="e">
        <f t="shared" si="3"/>
        <v>#REF!</v>
      </c>
      <c r="J17" s="21"/>
      <c r="K17" s="20"/>
      <c r="M17" s="1"/>
      <c r="N17" s="1"/>
      <c r="O17" s="22"/>
      <c r="P17" s="22"/>
    </row>
    <row r="18" spans="1:16">
      <c r="A18">
        <v>10</v>
      </c>
      <c r="B18" s="21" t="e">
        <f>#REF!</f>
        <v>#REF!</v>
      </c>
      <c r="C18" s="20" t="e">
        <f>#REF!</f>
        <v>#REF!</v>
      </c>
      <c r="D18" s="1" t="e">
        <f>#REF!</f>
        <v>#REF!</v>
      </c>
      <c r="E18" s="1" t="s">
        <v>63</v>
      </c>
      <c r="F18" s="1" t="e">
        <f>#REF!</f>
        <v>#REF!</v>
      </c>
      <c r="G18" s="22">
        <f>IFERROR(VLOOKUP(D18,'データ（触らない）'!$R$3:$S$17,2,FALSE),0)</f>
        <v>0</v>
      </c>
      <c r="H18" s="22" t="e">
        <f t="shared" si="3"/>
        <v>#REF!</v>
      </c>
      <c r="J18" s="21"/>
      <c r="K18" s="20"/>
      <c r="M18" s="1"/>
      <c r="N18" s="1"/>
      <c r="O18" s="22"/>
      <c r="P18" s="22"/>
    </row>
    <row r="19" spans="1:16">
      <c r="A19">
        <v>11</v>
      </c>
      <c r="B19" s="21" t="e">
        <f>#REF!</f>
        <v>#REF!</v>
      </c>
      <c r="C19" s="20" t="e">
        <f>#REF!</f>
        <v>#REF!</v>
      </c>
      <c r="D19" s="1" t="e">
        <f>#REF!</f>
        <v>#REF!</v>
      </c>
      <c r="E19" s="1" t="s">
        <v>63</v>
      </c>
      <c r="F19" s="1" t="e">
        <f>#REF!</f>
        <v>#REF!</v>
      </c>
      <c r="G19" s="22">
        <f>IFERROR(VLOOKUP(D19,'データ（触らない）'!$R$3:$S$17,2,FALSE),0)</f>
        <v>0</v>
      </c>
      <c r="H19" s="22" t="e">
        <f t="shared" si="3"/>
        <v>#REF!</v>
      </c>
      <c r="J19" s="21"/>
      <c r="K19" s="20"/>
      <c r="M19" s="1"/>
      <c r="N19" s="1"/>
      <c r="O19" s="22"/>
      <c r="P19" s="22"/>
    </row>
    <row r="20" spans="1:16">
      <c r="A20">
        <v>12</v>
      </c>
      <c r="B20" s="21" t="e">
        <f>#REF!</f>
        <v>#REF!</v>
      </c>
      <c r="C20" s="20" t="e">
        <f>#REF!</f>
        <v>#REF!</v>
      </c>
      <c r="D20" s="1" t="e">
        <f>#REF!</f>
        <v>#REF!</v>
      </c>
      <c r="E20" s="1" t="s">
        <v>63</v>
      </c>
      <c r="F20" s="1" t="e">
        <f>#REF!</f>
        <v>#REF!</v>
      </c>
      <c r="G20" s="22">
        <f>IFERROR(VLOOKUP(D20,'データ（触らない）'!$R$3:$S$17,2,FALSE),0)</f>
        <v>0</v>
      </c>
      <c r="H20" s="22" t="e">
        <f t="shared" si="3"/>
        <v>#REF!</v>
      </c>
      <c r="J20" s="21"/>
      <c r="K20" s="20"/>
      <c r="M20" s="1"/>
      <c r="N20" s="1"/>
      <c r="O20" s="22"/>
      <c r="P20" s="22"/>
    </row>
    <row r="21" spans="1:16">
      <c r="A21">
        <v>13</v>
      </c>
      <c r="B21" s="21" t="e">
        <f>#REF!</f>
        <v>#REF!</v>
      </c>
      <c r="C21" s="20" t="e">
        <f>#REF!</f>
        <v>#REF!</v>
      </c>
      <c r="D21" s="1" t="e">
        <f>#REF!</f>
        <v>#REF!</v>
      </c>
      <c r="E21" s="1" t="s">
        <v>63</v>
      </c>
      <c r="F21" s="1" t="e">
        <f>#REF!</f>
        <v>#REF!</v>
      </c>
      <c r="G21" s="22">
        <f>IFERROR(VLOOKUP(D21,'データ（触らない）'!$R$3:$S$17,2,FALSE),0)</f>
        <v>0</v>
      </c>
      <c r="H21" s="22" t="e">
        <f t="shared" si="3"/>
        <v>#REF!</v>
      </c>
      <c r="J21" s="21"/>
      <c r="K21" s="20"/>
      <c r="M21" s="1"/>
      <c r="N21" s="1"/>
      <c r="O21" s="22"/>
      <c r="P21" s="22"/>
    </row>
    <row r="22" spans="1:16">
      <c r="A22">
        <v>14</v>
      </c>
      <c r="B22" s="21" t="e">
        <f>#REF!</f>
        <v>#REF!</v>
      </c>
      <c r="C22" s="20" t="e">
        <f>#REF!</f>
        <v>#REF!</v>
      </c>
      <c r="D22" s="1" t="e">
        <f>#REF!</f>
        <v>#REF!</v>
      </c>
      <c r="E22" s="1" t="s">
        <v>63</v>
      </c>
      <c r="F22" s="1" t="e">
        <f>#REF!</f>
        <v>#REF!</v>
      </c>
      <c r="G22" s="22">
        <f>IFERROR(VLOOKUP(D22,'データ（触らない）'!$R$3:$S$17,2,FALSE),0)</f>
        <v>0</v>
      </c>
      <c r="H22" s="22" t="e">
        <f t="shared" si="3"/>
        <v>#REF!</v>
      </c>
      <c r="J22" s="21"/>
      <c r="K22" s="20"/>
      <c r="M22" s="1"/>
      <c r="N22" s="1"/>
      <c r="O22" s="22"/>
      <c r="P22" s="22"/>
    </row>
    <row r="23" spans="1:16">
      <c r="A23">
        <v>15</v>
      </c>
      <c r="B23" s="21" t="e">
        <f>#REF!</f>
        <v>#REF!</v>
      </c>
      <c r="C23" s="20" t="e">
        <f>#REF!</f>
        <v>#REF!</v>
      </c>
      <c r="D23" s="1" t="e">
        <f>#REF!</f>
        <v>#REF!</v>
      </c>
      <c r="E23" s="1" t="s">
        <v>63</v>
      </c>
      <c r="F23" s="1" t="e">
        <f>#REF!</f>
        <v>#REF!</v>
      </c>
      <c r="G23" s="22">
        <f>IFERROR(VLOOKUP(D23,'データ（触らない）'!$R$3:$S$17,2,FALSE),0)</f>
        <v>0</v>
      </c>
      <c r="H23" s="22" t="e">
        <f t="shared" si="3"/>
        <v>#REF!</v>
      </c>
      <c r="J23" s="21"/>
      <c r="K23" s="20"/>
      <c r="M23" s="1"/>
      <c r="N23" s="1"/>
      <c r="O23" s="22"/>
      <c r="P23" s="22"/>
    </row>
    <row r="24" spans="1:16">
      <c r="A24">
        <v>16</v>
      </c>
      <c r="B24" s="21" t="e">
        <f>#REF!</f>
        <v>#REF!</v>
      </c>
      <c r="C24" s="20" t="e">
        <f>#REF!</f>
        <v>#REF!</v>
      </c>
      <c r="D24" s="1" t="e">
        <f>#REF!</f>
        <v>#REF!</v>
      </c>
      <c r="E24" s="1" t="e">
        <f>#REF!</f>
        <v>#REF!</v>
      </c>
      <c r="F24" s="1" t="e">
        <f>IF(E24=0,0,1)</f>
        <v>#REF!</v>
      </c>
      <c r="G24" s="22" t="e">
        <f>IF(#REF!="〇",#REF!,#REF!)</f>
        <v>#REF!</v>
      </c>
      <c r="H24" s="22" t="e">
        <f t="shared" si="3"/>
        <v>#REF!</v>
      </c>
      <c r="J24" s="21"/>
      <c r="K24" s="20"/>
      <c r="M24" s="1"/>
      <c r="N24" s="1"/>
      <c r="O24" s="22"/>
      <c r="P24" s="22"/>
    </row>
    <row r="25" spans="1:16">
      <c r="A25">
        <v>17</v>
      </c>
      <c r="B25" s="21" t="e">
        <f>#REF!</f>
        <v>#REF!</v>
      </c>
      <c r="C25" s="20" t="e">
        <f>#REF!</f>
        <v>#REF!</v>
      </c>
      <c r="D25" s="1" t="e">
        <f>#REF!</f>
        <v>#REF!</v>
      </c>
      <c r="E25" s="1" t="s">
        <v>63</v>
      </c>
      <c r="F25" s="1" t="e">
        <f>#REF!</f>
        <v>#REF!</v>
      </c>
      <c r="G25" s="22">
        <f>IFERROR(VLOOKUP(D25,'データ（触らない）'!$R$21:$S$29,2,FALSE),0)</f>
        <v>0</v>
      </c>
      <c r="H25" s="22" t="e">
        <f t="shared" si="3"/>
        <v>#REF!</v>
      </c>
      <c r="J25" s="21"/>
      <c r="K25" s="20"/>
      <c r="M25" s="1"/>
      <c r="N25" s="1"/>
      <c r="O25" s="22"/>
      <c r="P25" s="22"/>
    </row>
    <row r="26" spans="1:16">
      <c r="A26">
        <v>18</v>
      </c>
      <c r="B26" s="21" t="e">
        <f>#REF!</f>
        <v>#REF!</v>
      </c>
      <c r="C26" s="20" t="e">
        <f>#REF!</f>
        <v>#REF!</v>
      </c>
      <c r="D26" s="1" t="e">
        <f>#REF!</f>
        <v>#REF!</v>
      </c>
      <c r="E26" s="1" t="s">
        <v>63</v>
      </c>
      <c r="F26" s="1" t="e">
        <f>#REF!</f>
        <v>#REF!</v>
      </c>
      <c r="G26" s="22">
        <f>IFERROR(VLOOKUP(D26,'データ（触らない）'!$R$21:$S$29,2,FALSE),0)</f>
        <v>0</v>
      </c>
      <c r="H26" s="22" t="e">
        <f t="shared" si="3"/>
        <v>#REF!</v>
      </c>
      <c r="J26" s="21"/>
      <c r="K26" s="20"/>
      <c r="M26" s="1"/>
      <c r="N26" s="1"/>
      <c r="O26" s="22"/>
      <c r="P26" s="22"/>
    </row>
    <row r="27" spans="1:16">
      <c r="A27">
        <v>19</v>
      </c>
      <c r="B27" s="21" t="e">
        <f>#REF!</f>
        <v>#REF!</v>
      </c>
      <c r="C27" s="20" t="e">
        <f>#REF!</f>
        <v>#REF!</v>
      </c>
      <c r="D27" s="1" t="e">
        <f>#REF!</f>
        <v>#REF!</v>
      </c>
      <c r="E27" s="1" t="s">
        <v>63</v>
      </c>
      <c r="F27" s="1" t="e">
        <f>#REF!</f>
        <v>#REF!</v>
      </c>
      <c r="G27" s="22">
        <f>IFERROR(VLOOKUP(D27,'データ（触らない）'!$R$21:$S$29,2,FALSE),0)</f>
        <v>0</v>
      </c>
      <c r="H27" s="22" t="e">
        <f t="shared" si="3"/>
        <v>#REF!</v>
      </c>
      <c r="J27" s="21"/>
      <c r="K27" s="20"/>
      <c r="M27" s="1"/>
      <c r="N27" s="1"/>
      <c r="O27" s="22"/>
      <c r="P27" s="22"/>
    </row>
    <row r="28" spans="1:16">
      <c r="A28">
        <v>20</v>
      </c>
      <c r="B28" s="21" t="e">
        <f>#REF!</f>
        <v>#REF!</v>
      </c>
      <c r="C28" s="20" t="e">
        <f>#REF!</f>
        <v>#REF!</v>
      </c>
      <c r="D28" s="1" t="e">
        <f>#REF!</f>
        <v>#REF!</v>
      </c>
      <c r="E28" s="1" t="s">
        <v>63</v>
      </c>
      <c r="F28" s="1" t="e">
        <f>#REF!</f>
        <v>#REF!</v>
      </c>
      <c r="G28" s="22">
        <f>IFERROR(VLOOKUP(D28,'データ（触らない）'!$R$21:$S$29,2,FALSE),0)</f>
        <v>0</v>
      </c>
      <c r="H28" s="22" t="e">
        <f t="shared" si="3"/>
        <v>#REF!</v>
      </c>
      <c r="J28" s="21"/>
      <c r="K28" s="20"/>
      <c r="M28" s="1"/>
      <c r="N28" s="1"/>
      <c r="O28" s="22"/>
      <c r="P28" s="22"/>
    </row>
    <row r="29" spans="1:16">
      <c r="A29">
        <v>21</v>
      </c>
      <c r="B29" s="21" t="e">
        <f>#REF!</f>
        <v>#REF!</v>
      </c>
      <c r="C29" s="20" t="e">
        <f>#REF!</f>
        <v>#REF!</v>
      </c>
      <c r="D29" s="1" t="e">
        <f>#REF!</f>
        <v>#REF!</v>
      </c>
      <c r="E29" s="1" t="s">
        <v>63</v>
      </c>
      <c r="F29" s="1" t="e">
        <f>#REF!</f>
        <v>#REF!</v>
      </c>
      <c r="G29" s="22">
        <f>IFERROR(VLOOKUP(D29,'データ（触らない）'!$R$21:$S$29,2,FALSE),0)</f>
        <v>0</v>
      </c>
      <c r="H29" s="22" t="e">
        <f t="shared" si="3"/>
        <v>#REF!</v>
      </c>
      <c r="J29" s="21"/>
      <c r="K29" s="20"/>
      <c r="M29" s="1"/>
      <c r="N29" s="1"/>
      <c r="O29" s="22"/>
      <c r="P29" s="22"/>
    </row>
    <row r="30" spans="1:16">
      <c r="A30">
        <v>22</v>
      </c>
      <c r="B30" s="21" t="e">
        <f>#REF!</f>
        <v>#REF!</v>
      </c>
      <c r="C30" s="20" t="e">
        <f>#REF!</f>
        <v>#REF!</v>
      </c>
      <c r="D30" s="1" t="e">
        <f>#REF!</f>
        <v>#REF!</v>
      </c>
      <c r="E30" s="1" t="s">
        <v>63</v>
      </c>
      <c r="F30" s="1" t="e">
        <f>#REF!</f>
        <v>#REF!</v>
      </c>
      <c r="G30" s="22">
        <f>IFERROR(VLOOKUP(D30,'データ（触らない）'!$R$21:$S$29,2,FALSE),0)</f>
        <v>0</v>
      </c>
      <c r="H30" s="22" t="e">
        <f t="shared" si="3"/>
        <v>#REF!</v>
      </c>
      <c r="J30" s="21"/>
      <c r="K30" s="20"/>
      <c r="M30" s="1"/>
      <c r="N30" s="1"/>
      <c r="O30" s="22"/>
      <c r="P30" s="22"/>
    </row>
    <row r="31" spans="1:16">
      <c r="A31">
        <v>23</v>
      </c>
      <c r="B31" s="21" t="e">
        <f>#REF!</f>
        <v>#REF!</v>
      </c>
      <c r="C31" s="20" t="e">
        <f>#REF!</f>
        <v>#REF!</v>
      </c>
      <c r="D31" s="1" t="e">
        <f>#REF!</f>
        <v>#REF!</v>
      </c>
      <c r="E31" s="1" t="e">
        <f>#REF!</f>
        <v>#REF!</v>
      </c>
      <c r="F31" s="1" t="e">
        <f t="shared" si="2"/>
        <v>#REF!</v>
      </c>
      <c r="G31" s="22" t="e">
        <f>IF(#REF!="〇",#REF!,#REF!)</f>
        <v>#REF!</v>
      </c>
      <c r="H31" s="22" t="e">
        <f t="shared" si="3"/>
        <v>#REF!</v>
      </c>
      <c r="J31" s="21"/>
      <c r="K31" s="20"/>
      <c r="M31" s="1"/>
      <c r="N31" s="1"/>
      <c r="O31" s="22"/>
      <c r="P31" s="22"/>
    </row>
    <row r="32" spans="1:16">
      <c r="A32">
        <v>24</v>
      </c>
      <c r="B32" s="21" t="e">
        <f>#REF!</f>
        <v>#REF!</v>
      </c>
      <c r="C32" s="20" t="e">
        <f>#REF!</f>
        <v>#REF!</v>
      </c>
      <c r="D32" s="1" t="e">
        <f>#REF!</f>
        <v>#REF!</v>
      </c>
      <c r="E32" s="1" t="s">
        <v>63</v>
      </c>
      <c r="F32" s="1" t="e">
        <f>#REF!</f>
        <v>#REF!</v>
      </c>
      <c r="G32" s="22">
        <f>IFERROR(VLOOKUP(D32,'データ（触らない）'!$R$33:$S$40,2,FALSE),0)</f>
        <v>0</v>
      </c>
      <c r="H32" s="22" t="e">
        <f t="shared" si="3"/>
        <v>#REF!</v>
      </c>
      <c r="J32" s="21"/>
      <c r="K32" s="20"/>
      <c r="M32" s="1"/>
      <c r="N32" s="1"/>
      <c r="O32" s="22"/>
      <c r="P32" s="22"/>
    </row>
    <row r="33" spans="1:16">
      <c r="A33">
        <v>25</v>
      </c>
      <c r="B33" s="21" t="e">
        <f>#REF!</f>
        <v>#REF!</v>
      </c>
      <c r="C33" s="20" t="e">
        <f>#REF!</f>
        <v>#REF!</v>
      </c>
      <c r="D33" s="1" t="e">
        <f>#REF!</f>
        <v>#REF!</v>
      </c>
      <c r="E33" s="1" t="s">
        <v>63</v>
      </c>
      <c r="F33" s="1" t="e">
        <f>#REF!</f>
        <v>#REF!</v>
      </c>
      <c r="G33" s="22">
        <f>IFERROR(VLOOKUP(D33,'データ（触らない）'!$R$33:$S$40,2,FALSE),0)</f>
        <v>0</v>
      </c>
      <c r="H33" s="22" t="e">
        <f t="shared" si="3"/>
        <v>#REF!</v>
      </c>
      <c r="J33" s="21"/>
      <c r="K33" s="20"/>
      <c r="M33" s="1"/>
      <c r="N33" s="1"/>
      <c r="O33" s="22"/>
      <c r="P33" s="22"/>
    </row>
    <row r="34" spans="1:16">
      <c r="A34">
        <v>26</v>
      </c>
      <c r="B34" s="21" t="e">
        <f>#REF!</f>
        <v>#REF!</v>
      </c>
      <c r="C34" s="20" t="e">
        <f>#REF!</f>
        <v>#REF!</v>
      </c>
      <c r="D34" s="1" t="e">
        <f>#REF!</f>
        <v>#REF!</v>
      </c>
      <c r="E34" s="1" t="s">
        <v>63</v>
      </c>
      <c r="F34" s="1" t="e">
        <f>#REF!</f>
        <v>#REF!</v>
      </c>
      <c r="G34" s="22">
        <f>IFERROR(VLOOKUP(D34,'データ（触らない）'!$R$33:$S$40,2,FALSE),0)</f>
        <v>0</v>
      </c>
      <c r="H34" s="22" t="e">
        <f t="shared" si="3"/>
        <v>#REF!</v>
      </c>
      <c r="J34" s="21"/>
      <c r="K34" s="20"/>
      <c r="M34" s="1"/>
      <c r="N34" s="1"/>
      <c r="O34" s="22"/>
      <c r="P34" s="22"/>
    </row>
    <row r="35" spans="1:16">
      <c r="A35">
        <v>27</v>
      </c>
      <c r="B35" s="21" t="e">
        <f>#REF!</f>
        <v>#REF!</v>
      </c>
      <c r="C35" s="20" t="e">
        <f>#REF!</f>
        <v>#REF!</v>
      </c>
      <c r="D35" s="1" t="e">
        <f>#REF!</f>
        <v>#REF!</v>
      </c>
      <c r="E35" s="1" t="s">
        <v>63</v>
      </c>
      <c r="F35" s="1" t="e">
        <f>#REF!</f>
        <v>#REF!</v>
      </c>
      <c r="G35" s="22">
        <f>IFERROR(VLOOKUP(D35,'データ（触らない）'!$R$33:$S$40,2,FALSE),0)</f>
        <v>0</v>
      </c>
      <c r="H35" s="22" t="e">
        <f t="shared" si="3"/>
        <v>#REF!</v>
      </c>
      <c r="J35" s="21"/>
      <c r="K35" s="20"/>
      <c r="M35" s="1"/>
      <c r="N35" s="1"/>
      <c r="O35" s="22"/>
      <c r="P35" s="22"/>
    </row>
    <row r="36" spans="1:16">
      <c r="A36">
        <v>28</v>
      </c>
      <c r="B36" s="21" t="e">
        <f>#REF!</f>
        <v>#REF!</v>
      </c>
      <c r="C36" s="20" t="e">
        <f>#REF!</f>
        <v>#REF!</v>
      </c>
      <c r="D36" s="1" t="e">
        <f>#REF!</f>
        <v>#REF!</v>
      </c>
      <c r="E36" s="1" t="s">
        <v>63</v>
      </c>
      <c r="F36" s="1" t="e">
        <f>#REF!</f>
        <v>#REF!</v>
      </c>
      <c r="G36" s="22">
        <f>IFERROR(VLOOKUP(D36,'データ（触らない）'!$R$33:$S$40,2,FALSE),0)</f>
        <v>0</v>
      </c>
      <c r="H36" s="22" t="e">
        <f t="shared" si="3"/>
        <v>#REF!</v>
      </c>
      <c r="J36" s="21"/>
      <c r="K36" s="20"/>
      <c r="M36" s="1"/>
      <c r="N36" s="1"/>
      <c r="O36" s="22"/>
      <c r="P36" s="22"/>
    </row>
    <row r="37" spans="1:16">
      <c r="A37">
        <v>29</v>
      </c>
      <c r="B37" s="21" t="e">
        <f>#REF!</f>
        <v>#REF!</v>
      </c>
      <c r="C37" s="20" t="e">
        <f>#REF!</f>
        <v>#REF!</v>
      </c>
      <c r="D37" s="1" t="e">
        <f>#REF!</f>
        <v>#REF!</v>
      </c>
      <c r="E37" s="1" t="s">
        <v>63</v>
      </c>
      <c r="F37" s="1" t="e">
        <f>#REF!</f>
        <v>#REF!</v>
      </c>
      <c r="G37" s="22">
        <f>IFERROR(VLOOKUP(D37,'データ（触らない）'!$R$44:$S$60,2,FALSE),0)</f>
        <v>0</v>
      </c>
      <c r="H37" s="22" t="e">
        <f t="shared" si="3"/>
        <v>#REF!</v>
      </c>
      <c r="J37" s="21"/>
      <c r="K37" s="20"/>
      <c r="M37" s="1"/>
      <c r="N37" s="1"/>
      <c r="O37" s="22"/>
      <c r="P37" s="22"/>
    </row>
    <row r="38" spans="1:16">
      <c r="A38">
        <v>30</v>
      </c>
      <c r="B38" s="21" t="e">
        <f>#REF!</f>
        <v>#REF!</v>
      </c>
      <c r="C38" s="20" t="e">
        <f>#REF!</f>
        <v>#REF!</v>
      </c>
      <c r="D38" s="1" t="e">
        <f>#REF!</f>
        <v>#REF!</v>
      </c>
      <c r="E38" s="1" t="s">
        <v>63</v>
      </c>
      <c r="F38" s="1" t="e">
        <f>#REF!</f>
        <v>#REF!</v>
      </c>
      <c r="G38" s="22">
        <f>IFERROR(VLOOKUP(D38,'データ（触らない）'!$R$44:$S$60,2,FALSE),0)</f>
        <v>0</v>
      </c>
      <c r="H38" s="22" t="e">
        <f t="shared" si="3"/>
        <v>#REF!</v>
      </c>
      <c r="J38" s="21"/>
      <c r="K38" s="20"/>
      <c r="M38" s="1"/>
      <c r="N38" s="1"/>
      <c r="O38" s="22"/>
      <c r="P38" s="22"/>
    </row>
    <row r="39" spans="1:16">
      <c r="A39">
        <v>31</v>
      </c>
      <c r="B39" s="21" t="e">
        <f>#REF!</f>
        <v>#REF!</v>
      </c>
      <c r="C39" s="20" t="e">
        <f>#REF!</f>
        <v>#REF!</v>
      </c>
      <c r="D39" s="1" t="e">
        <f>#REF!</f>
        <v>#REF!</v>
      </c>
      <c r="E39" s="1" t="s">
        <v>63</v>
      </c>
      <c r="F39" s="1" t="e">
        <f>#REF!</f>
        <v>#REF!</v>
      </c>
      <c r="G39" s="22">
        <f>IFERROR(VLOOKUP(D39,'データ（触らない）'!$R$44:$S$60,2,FALSE),0)</f>
        <v>0</v>
      </c>
      <c r="H39" s="22" t="e">
        <f t="shared" si="3"/>
        <v>#REF!</v>
      </c>
      <c r="J39" s="21"/>
      <c r="K39" s="20"/>
      <c r="M39" s="1"/>
      <c r="N39" s="1"/>
      <c r="O39" s="22"/>
      <c r="P39" s="22"/>
    </row>
    <row r="40" spans="1:16">
      <c r="A40">
        <v>32</v>
      </c>
      <c r="B40" s="21" t="e">
        <f>#REF!</f>
        <v>#REF!</v>
      </c>
      <c r="C40" s="20" t="e">
        <f>#REF!</f>
        <v>#REF!</v>
      </c>
      <c r="D40" s="1" t="e">
        <f>#REF!</f>
        <v>#REF!</v>
      </c>
      <c r="E40" s="1" t="s">
        <v>63</v>
      </c>
      <c r="F40" s="1" t="e">
        <f>#REF!</f>
        <v>#REF!</v>
      </c>
      <c r="G40" s="22">
        <f>IFERROR(VLOOKUP(D40,'データ（触らない）'!$R$44:$S$60,2,FALSE),0)</f>
        <v>0</v>
      </c>
      <c r="H40" s="22" t="e">
        <f t="shared" si="3"/>
        <v>#REF!</v>
      </c>
      <c r="J40" s="21"/>
      <c r="K40" s="20"/>
      <c r="M40" s="1"/>
      <c r="N40" s="1"/>
      <c r="O40" s="22"/>
      <c r="P40" s="22"/>
    </row>
    <row r="41" spans="1:16">
      <c r="A41">
        <v>33</v>
      </c>
      <c r="B41" s="21" t="e">
        <f>#REF!</f>
        <v>#REF!</v>
      </c>
      <c r="C41" s="20" t="e">
        <f>#REF!</f>
        <v>#REF!</v>
      </c>
      <c r="D41" s="1" t="e">
        <f>#REF!</f>
        <v>#REF!</v>
      </c>
      <c r="E41" s="1" t="s">
        <v>63</v>
      </c>
      <c r="F41" s="1" t="e">
        <f>#REF!</f>
        <v>#REF!</v>
      </c>
      <c r="G41" s="22">
        <f>IFERROR(VLOOKUP(D41,'データ（触らない）'!$R$44:$S$60,2,FALSE),0)</f>
        <v>0</v>
      </c>
      <c r="H41" s="22" t="e">
        <f t="shared" si="3"/>
        <v>#REF!</v>
      </c>
      <c r="J41" s="21"/>
      <c r="K41" s="20"/>
      <c r="M41" s="1"/>
      <c r="N41" s="1"/>
      <c r="O41" s="22"/>
      <c r="P41" s="22"/>
    </row>
    <row r="42" spans="1:16">
      <c r="A42">
        <v>34</v>
      </c>
      <c r="B42" s="21" t="e">
        <f>#REF!</f>
        <v>#REF!</v>
      </c>
      <c r="C42" s="20" t="e">
        <f>#REF!</f>
        <v>#REF!</v>
      </c>
      <c r="D42" s="1" t="e">
        <f>#REF!</f>
        <v>#REF!</v>
      </c>
      <c r="E42" s="1" t="s">
        <v>63</v>
      </c>
      <c r="F42" s="1" t="e">
        <f>#REF!</f>
        <v>#REF!</v>
      </c>
      <c r="G42" s="22">
        <f>IFERROR(VLOOKUP(D42,'データ（触らない）'!$R$44:$S$60,2,FALSE),0)</f>
        <v>0</v>
      </c>
      <c r="H42" s="22" t="e">
        <f t="shared" si="3"/>
        <v>#REF!</v>
      </c>
      <c r="J42" s="21"/>
      <c r="K42" s="20"/>
      <c r="M42" s="1"/>
      <c r="N42" s="1"/>
      <c r="O42" s="22"/>
      <c r="P42" s="22"/>
    </row>
    <row r="43" spans="1:16">
      <c r="A43">
        <v>35</v>
      </c>
      <c r="B43" s="21" t="e">
        <f>#REF!</f>
        <v>#REF!</v>
      </c>
      <c r="C43" s="20" t="e">
        <f>#REF!</f>
        <v>#REF!</v>
      </c>
      <c r="D43" s="1" t="e">
        <f>#REF!</f>
        <v>#REF!</v>
      </c>
      <c r="E43" s="1" t="s">
        <v>63</v>
      </c>
      <c r="F43" s="1" t="e">
        <f>#REF!</f>
        <v>#REF!</v>
      </c>
      <c r="G43" s="22">
        <f>IFERROR(VLOOKUP(D43,'データ（触らない）'!$R$44:$S$60,2,FALSE),0)</f>
        <v>0</v>
      </c>
      <c r="H43" s="22" t="e">
        <f t="shared" si="3"/>
        <v>#REF!</v>
      </c>
      <c r="J43" s="21"/>
      <c r="K43" s="20"/>
      <c r="M43" s="1"/>
      <c r="N43" s="1"/>
      <c r="O43" s="22"/>
      <c r="P43" s="22"/>
    </row>
    <row r="44" spans="1:16">
      <c r="A44">
        <v>36</v>
      </c>
      <c r="B44" s="21" t="e">
        <f>#REF!</f>
        <v>#REF!</v>
      </c>
      <c r="C44" s="20" t="e">
        <f>#REF!</f>
        <v>#REF!</v>
      </c>
      <c r="D44" s="1" t="e">
        <f>#REF!</f>
        <v>#REF!</v>
      </c>
      <c r="E44" s="1" t="s">
        <v>63</v>
      </c>
      <c r="F44" s="1" t="e">
        <f>#REF!</f>
        <v>#REF!</v>
      </c>
      <c r="G44" s="22">
        <f>IFERROR(VLOOKUP(D44,'データ（触らない）'!$R$44:$S$60,2,FALSE),0)</f>
        <v>0</v>
      </c>
      <c r="H44" s="22" t="e">
        <f t="shared" si="3"/>
        <v>#REF!</v>
      </c>
      <c r="J44" s="21"/>
      <c r="K44" s="20"/>
      <c r="M44" s="1"/>
      <c r="N44" s="1"/>
      <c r="O44" s="22"/>
      <c r="P44" s="22"/>
    </row>
    <row r="45" spans="1:16">
      <c r="A45">
        <v>37</v>
      </c>
      <c r="B45" s="21" t="e">
        <f>#REF!</f>
        <v>#REF!</v>
      </c>
      <c r="C45" s="20" t="e">
        <f>#REF!</f>
        <v>#REF!</v>
      </c>
      <c r="D45" s="1" t="e">
        <f>#REF!</f>
        <v>#REF!</v>
      </c>
      <c r="E45" s="1" t="s">
        <v>63</v>
      </c>
      <c r="F45" s="1" t="e">
        <f>#REF!</f>
        <v>#REF!</v>
      </c>
      <c r="G45" s="22">
        <f>IFERROR(VLOOKUP(D45,'データ（触らない）'!$R$44:$S$60,2,FALSE),0)</f>
        <v>0</v>
      </c>
      <c r="H45" s="22" t="e">
        <f t="shared" si="3"/>
        <v>#REF!</v>
      </c>
      <c r="J45" s="21"/>
      <c r="K45" s="20"/>
      <c r="M45" s="1"/>
      <c r="N45" s="1"/>
      <c r="O45" s="22"/>
      <c r="P45" s="22"/>
    </row>
    <row r="46" spans="1:16">
      <c r="A46">
        <v>38</v>
      </c>
      <c r="B46" s="21" t="e">
        <f>#REF!</f>
        <v>#REF!</v>
      </c>
      <c r="C46" s="20" t="e">
        <f>#REF!</f>
        <v>#REF!</v>
      </c>
      <c r="D46" s="1" t="e">
        <f>#REF!</f>
        <v>#REF!</v>
      </c>
      <c r="E46" s="1" t="s">
        <v>63</v>
      </c>
      <c r="F46" s="1" t="e">
        <f>#REF!</f>
        <v>#REF!</v>
      </c>
      <c r="G46" s="22">
        <f>IFERROR(VLOOKUP(D46,'データ（触らない）'!$R$44:$S$60,2,FALSE),0)</f>
        <v>0</v>
      </c>
      <c r="H46" s="22" t="e">
        <f t="shared" si="3"/>
        <v>#REF!</v>
      </c>
      <c r="J46" s="21"/>
      <c r="K46" s="20"/>
      <c r="M46" s="1"/>
      <c r="N46" s="1"/>
      <c r="O46" s="22"/>
      <c r="P46" s="22"/>
    </row>
    <row r="47" spans="1:16">
      <c r="A47">
        <v>39</v>
      </c>
      <c r="B47" s="21" t="e">
        <f>#REF!</f>
        <v>#REF!</v>
      </c>
      <c r="C47" s="20" t="e">
        <f>#REF!</f>
        <v>#REF!</v>
      </c>
      <c r="D47" s="1" t="e">
        <f>#REF!</f>
        <v>#REF!</v>
      </c>
      <c r="E47" s="1" t="s">
        <v>63</v>
      </c>
      <c r="F47" s="1" t="e">
        <f>#REF!</f>
        <v>#REF!</v>
      </c>
      <c r="G47" s="22">
        <f>IFERROR(VLOOKUP(D47,'データ（触らない）'!$R$44:$S$60,2,FALSE),0)</f>
        <v>0</v>
      </c>
      <c r="H47" s="22" t="e">
        <f t="shared" si="3"/>
        <v>#REF!</v>
      </c>
      <c r="J47" s="21"/>
      <c r="K47" s="20"/>
      <c r="M47" s="1"/>
      <c r="N47" s="1"/>
      <c r="O47" s="22"/>
      <c r="P47" s="22"/>
    </row>
    <row r="48" spans="1:16">
      <c r="A48">
        <v>40</v>
      </c>
      <c r="B48" s="21" t="e">
        <f>#REF!</f>
        <v>#REF!</v>
      </c>
      <c r="C48" s="20" t="e">
        <f>#REF!</f>
        <v>#REF!</v>
      </c>
      <c r="D48" s="1" t="e">
        <f>#REF!</f>
        <v>#REF!</v>
      </c>
      <c r="E48" s="1" t="s">
        <v>63</v>
      </c>
      <c r="F48" s="1" t="e">
        <f>#REF!</f>
        <v>#REF!</v>
      </c>
      <c r="G48" s="22">
        <f>IFERROR(VLOOKUP(D48,'データ（触らない）'!$R$44:$S$60,2,FALSE),0)</f>
        <v>0</v>
      </c>
      <c r="H48" s="22" t="e">
        <f t="shared" si="3"/>
        <v>#REF!</v>
      </c>
      <c r="J48" s="21"/>
      <c r="K48" s="20"/>
      <c r="M48" s="1"/>
      <c r="N48" s="1"/>
      <c r="O48" s="22"/>
      <c r="P48" s="22"/>
    </row>
    <row r="49" spans="1:16">
      <c r="A49">
        <v>41</v>
      </c>
      <c r="B49" s="21" t="e">
        <f>#REF!</f>
        <v>#REF!</v>
      </c>
      <c r="C49" s="20" t="e">
        <f>#REF!</f>
        <v>#REF!</v>
      </c>
      <c r="D49" s="1" t="e">
        <f>#REF!</f>
        <v>#REF!</v>
      </c>
      <c r="E49" s="1" t="s">
        <v>63</v>
      </c>
      <c r="F49" s="1" t="e">
        <f>#REF!</f>
        <v>#REF!</v>
      </c>
      <c r="G49" s="22">
        <f>IFERROR(VLOOKUP(D49,'データ（触らない）'!$R$44:$S$60,2,FALSE),0)</f>
        <v>0</v>
      </c>
      <c r="H49" s="22" t="e">
        <f t="shared" si="3"/>
        <v>#REF!</v>
      </c>
      <c r="J49" s="21"/>
      <c r="K49" s="20"/>
      <c r="M49" s="1"/>
      <c r="N49" s="1"/>
      <c r="O49" s="22"/>
      <c r="P49" s="22"/>
    </row>
    <row r="50" spans="1:16">
      <c r="A50" s="23">
        <v>42</v>
      </c>
      <c r="B50" s="24" t="e">
        <f>#REF!</f>
        <v>#REF!</v>
      </c>
      <c r="C50" s="25" t="e">
        <f>#REF!</f>
        <v>#REF!</v>
      </c>
      <c r="D50" s="26" t="e">
        <f>#REF!</f>
        <v>#REF!</v>
      </c>
      <c r="E50" s="26" t="e">
        <f>#REF!</f>
        <v>#REF!</v>
      </c>
      <c r="F50" s="26" t="e">
        <f>IF(E50=0,0,1)</f>
        <v>#REF!</v>
      </c>
      <c r="G50" s="27" t="e">
        <f>IF(#REF!="〇",#REF!,#REF!)</f>
        <v>#REF!</v>
      </c>
      <c r="H50" s="27" t="e">
        <f>F50*G50</f>
        <v>#REF!</v>
      </c>
    </row>
    <row r="51" spans="1:16">
      <c r="A51" s="23">
        <v>43</v>
      </c>
      <c r="B51" s="24" t="e">
        <f>#REF!</f>
        <v>#REF!</v>
      </c>
      <c r="C51" s="25" t="e">
        <f>#REF!</f>
        <v>#REF!</v>
      </c>
      <c r="D51" s="26" t="e">
        <f>#REF!</f>
        <v>#REF!</v>
      </c>
      <c r="E51" s="26" t="e">
        <f>#REF!</f>
        <v>#REF!</v>
      </c>
      <c r="F51" s="26" t="e">
        <f t="shared" ref="F51:F54" si="4">IF(E51=0,0,1)</f>
        <v>#REF!</v>
      </c>
      <c r="G51" s="27" t="e">
        <f>IF(#REF!="〇",#REF!,#REF!)</f>
        <v>#REF!</v>
      </c>
      <c r="H51" s="27" t="e">
        <f t="shared" ref="H51:H90" si="5">F51*G51</f>
        <v>#REF!</v>
      </c>
    </row>
    <row r="52" spans="1:16">
      <c r="A52" s="23">
        <v>44</v>
      </c>
      <c r="B52" s="24" t="e">
        <f>#REF!</f>
        <v>#REF!</v>
      </c>
      <c r="C52" s="25" t="e">
        <f>#REF!</f>
        <v>#REF!</v>
      </c>
      <c r="D52" s="26" t="e">
        <f>#REF!</f>
        <v>#REF!</v>
      </c>
      <c r="E52" s="26" t="e">
        <f>#REF!</f>
        <v>#REF!</v>
      </c>
      <c r="F52" s="26" t="e">
        <f t="shared" si="4"/>
        <v>#REF!</v>
      </c>
      <c r="G52" s="27" t="e">
        <f>IF(#REF!="〇",#REF!,#REF!)</f>
        <v>#REF!</v>
      </c>
      <c r="H52" s="27" t="e">
        <f t="shared" si="5"/>
        <v>#REF!</v>
      </c>
    </row>
    <row r="53" spans="1:16">
      <c r="A53" s="23">
        <v>45</v>
      </c>
      <c r="B53" s="24" t="e">
        <f>#REF!</f>
        <v>#REF!</v>
      </c>
      <c r="C53" s="25" t="e">
        <f>#REF!</f>
        <v>#REF!</v>
      </c>
      <c r="D53" s="26" t="e">
        <f>#REF!</f>
        <v>#REF!</v>
      </c>
      <c r="E53" s="26" t="e">
        <f>#REF!</f>
        <v>#REF!</v>
      </c>
      <c r="F53" s="26" t="e">
        <f t="shared" si="4"/>
        <v>#REF!</v>
      </c>
      <c r="G53" s="27" t="e">
        <f>IF(#REF!="〇",#REF!,#REF!)</f>
        <v>#REF!</v>
      </c>
      <c r="H53" s="27" t="e">
        <f t="shared" si="5"/>
        <v>#REF!</v>
      </c>
    </row>
    <row r="54" spans="1:16">
      <c r="A54" s="23">
        <v>46</v>
      </c>
      <c r="B54" s="24" t="e">
        <f>#REF!</f>
        <v>#REF!</v>
      </c>
      <c r="C54" s="25" t="e">
        <f>#REF!</f>
        <v>#REF!</v>
      </c>
      <c r="D54" s="26" t="e">
        <f>#REF!</f>
        <v>#REF!</v>
      </c>
      <c r="E54" s="26" t="e">
        <f>#REF!&amp;"～"&amp;#REF!</f>
        <v>#REF!</v>
      </c>
      <c r="F54" s="26" t="e">
        <f t="shared" si="4"/>
        <v>#REF!</v>
      </c>
      <c r="G54" s="27" t="e">
        <f>IF(#REF!="〇",#REF!,#REF!)</f>
        <v>#REF!</v>
      </c>
      <c r="H54" s="27" t="e">
        <f t="shared" si="5"/>
        <v>#REF!</v>
      </c>
    </row>
    <row r="55" spans="1:16">
      <c r="A55" s="23">
        <v>47</v>
      </c>
      <c r="B55" s="24" t="e">
        <f>#REF!</f>
        <v>#REF!</v>
      </c>
      <c r="C55" s="25" t="e">
        <f>#REF!</f>
        <v>#REF!</v>
      </c>
      <c r="D55" s="26" t="e">
        <f>#REF!</f>
        <v>#REF!</v>
      </c>
      <c r="E55" s="26" t="s">
        <v>64</v>
      </c>
      <c r="F55" s="26" t="e">
        <f>#REF!</f>
        <v>#REF!</v>
      </c>
      <c r="G55" s="27">
        <f>IFERROR(VLOOKUP(D55,'データ（触らない）'!$R$3:$S$17,2,FALSE),0)</f>
        <v>0</v>
      </c>
      <c r="H55" s="27" t="e">
        <f t="shared" si="5"/>
        <v>#REF!</v>
      </c>
    </row>
    <row r="56" spans="1:16">
      <c r="A56" s="23">
        <v>48</v>
      </c>
      <c r="B56" s="24" t="e">
        <f>#REF!</f>
        <v>#REF!</v>
      </c>
      <c r="C56" s="25" t="e">
        <f>#REF!</f>
        <v>#REF!</v>
      </c>
      <c r="D56" s="26" t="e">
        <f>#REF!</f>
        <v>#REF!</v>
      </c>
      <c r="E56" s="26" t="s">
        <v>64</v>
      </c>
      <c r="F56" s="26" t="e">
        <f>#REF!</f>
        <v>#REF!</v>
      </c>
      <c r="G56" s="27">
        <f>IFERROR(VLOOKUP(D56,'データ（触らない）'!$R$3:$S$17,2,FALSE),0)</f>
        <v>0</v>
      </c>
      <c r="H56" s="27" t="e">
        <f t="shared" si="5"/>
        <v>#REF!</v>
      </c>
    </row>
    <row r="57" spans="1:16">
      <c r="A57" s="23">
        <v>49</v>
      </c>
      <c r="B57" s="24" t="e">
        <f>#REF!</f>
        <v>#REF!</v>
      </c>
      <c r="C57" s="25" t="e">
        <f>#REF!</f>
        <v>#REF!</v>
      </c>
      <c r="D57" s="26" t="e">
        <f>#REF!</f>
        <v>#REF!</v>
      </c>
      <c r="E57" s="26" t="s">
        <v>64</v>
      </c>
      <c r="F57" s="26" t="e">
        <f>#REF!</f>
        <v>#REF!</v>
      </c>
      <c r="G57" s="27">
        <f>IFERROR(VLOOKUP(D57,'データ（触らない）'!$R$3:$S$17,2,FALSE),0)</f>
        <v>0</v>
      </c>
      <c r="H57" s="27" t="e">
        <f t="shared" si="5"/>
        <v>#REF!</v>
      </c>
    </row>
    <row r="58" spans="1:16">
      <c r="A58" s="23">
        <v>50</v>
      </c>
      <c r="B58" s="24" t="e">
        <f>#REF!</f>
        <v>#REF!</v>
      </c>
      <c r="C58" s="25" t="e">
        <f>#REF!</f>
        <v>#REF!</v>
      </c>
      <c r="D58" s="26" t="e">
        <f>#REF!</f>
        <v>#REF!</v>
      </c>
      <c r="E58" s="26" t="s">
        <v>64</v>
      </c>
      <c r="F58" s="26" t="e">
        <f>#REF!</f>
        <v>#REF!</v>
      </c>
      <c r="G58" s="27">
        <f>IFERROR(VLOOKUP(D58,'データ（触らない）'!$R$3:$S$17,2,FALSE),0)</f>
        <v>0</v>
      </c>
      <c r="H58" s="27" t="e">
        <f t="shared" si="5"/>
        <v>#REF!</v>
      </c>
    </row>
    <row r="59" spans="1:16">
      <c r="A59" s="23">
        <v>51</v>
      </c>
      <c r="B59" s="24" t="e">
        <f>#REF!</f>
        <v>#REF!</v>
      </c>
      <c r="C59" s="25" t="e">
        <f>#REF!</f>
        <v>#REF!</v>
      </c>
      <c r="D59" s="26" t="e">
        <f>#REF!</f>
        <v>#REF!</v>
      </c>
      <c r="E59" s="26" t="s">
        <v>64</v>
      </c>
      <c r="F59" s="26" t="e">
        <f>#REF!</f>
        <v>#REF!</v>
      </c>
      <c r="G59" s="27">
        <f>IFERROR(VLOOKUP(D59,'データ（触らない）'!$R$3:$S$17,2,FALSE),0)</f>
        <v>0</v>
      </c>
      <c r="H59" s="27" t="e">
        <f t="shared" si="5"/>
        <v>#REF!</v>
      </c>
    </row>
    <row r="60" spans="1:16">
      <c r="A60" s="23">
        <v>52</v>
      </c>
      <c r="B60" s="24" t="e">
        <f>#REF!</f>
        <v>#REF!</v>
      </c>
      <c r="C60" s="25" t="e">
        <f>#REF!</f>
        <v>#REF!</v>
      </c>
      <c r="D60" s="26" t="e">
        <f>#REF!</f>
        <v>#REF!</v>
      </c>
      <c r="E60" s="26" t="s">
        <v>64</v>
      </c>
      <c r="F60" s="26" t="e">
        <f>#REF!</f>
        <v>#REF!</v>
      </c>
      <c r="G60" s="27">
        <f>IFERROR(VLOOKUP(D60,'データ（触らない）'!$R$3:$S$17,2,FALSE),0)</f>
        <v>0</v>
      </c>
      <c r="H60" s="27" t="e">
        <f t="shared" si="5"/>
        <v>#REF!</v>
      </c>
    </row>
    <row r="61" spans="1:16">
      <c r="A61" s="23">
        <v>53</v>
      </c>
      <c r="B61" s="24" t="e">
        <f>#REF!</f>
        <v>#REF!</v>
      </c>
      <c r="C61" s="25" t="e">
        <f>#REF!</f>
        <v>#REF!</v>
      </c>
      <c r="D61" s="26" t="e">
        <f>#REF!</f>
        <v>#REF!</v>
      </c>
      <c r="E61" s="26" t="s">
        <v>64</v>
      </c>
      <c r="F61" s="26" t="e">
        <f>#REF!</f>
        <v>#REF!</v>
      </c>
      <c r="G61" s="27">
        <f>IFERROR(VLOOKUP(D61,'データ（触らない）'!$R$3:$S$17,2,FALSE),0)</f>
        <v>0</v>
      </c>
      <c r="H61" s="27" t="e">
        <f t="shared" si="5"/>
        <v>#REF!</v>
      </c>
    </row>
    <row r="62" spans="1:16">
      <c r="A62" s="23">
        <v>54</v>
      </c>
      <c r="B62" s="24" t="e">
        <f>#REF!</f>
        <v>#REF!</v>
      </c>
      <c r="C62" s="25" t="e">
        <f>#REF!</f>
        <v>#REF!</v>
      </c>
      <c r="D62" s="26" t="e">
        <f>#REF!</f>
        <v>#REF!</v>
      </c>
      <c r="E62" s="26" t="s">
        <v>64</v>
      </c>
      <c r="F62" s="26" t="e">
        <f>#REF!</f>
        <v>#REF!</v>
      </c>
      <c r="G62" s="27">
        <f>IFERROR(VLOOKUP(D62,'データ（触らない）'!$R$3:$S$17,2,FALSE),0)</f>
        <v>0</v>
      </c>
      <c r="H62" s="27" t="e">
        <f t="shared" si="5"/>
        <v>#REF!</v>
      </c>
    </row>
    <row r="63" spans="1:16">
      <c r="A63" s="23">
        <v>55</v>
      </c>
      <c r="B63" s="24" t="e">
        <f>#REF!</f>
        <v>#REF!</v>
      </c>
      <c r="C63" s="25" t="e">
        <f>#REF!</f>
        <v>#REF!</v>
      </c>
      <c r="D63" s="26" t="e">
        <f>#REF!</f>
        <v>#REF!</v>
      </c>
      <c r="E63" s="26" t="s">
        <v>64</v>
      </c>
      <c r="F63" s="26" t="e">
        <f>#REF!</f>
        <v>#REF!</v>
      </c>
      <c r="G63" s="27">
        <f>IFERROR(VLOOKUP(D63,'データ（触らない）'!$R$3:$S$17,2,FALSE),0)</f>
        <v>0</v>
      </c>
      <c r="H63" s="27" t="e">
        <f t="shared" si="5"/>
        <v>#REF!</v>
      </c>
    </row>
    <row r="64" spans="1:16">
      <c r="A64" s="23">
        <v>56</v>
      </c>
      <c r="B64" s="24" t="e">
        <f>#REF!</f>
        <v>#REF!</v>
      </c>
      <c r="C64" s="25" t="e">
        <f>#REF!</f>
        <v>#REF!</v>
      </c>
      <c r="D64" s="26" t="e">
        <f>#REF!</f>
        <v>#REF!</v>
      </c>
      <c r="E64" s="26" t="s">
        <v>64</v>
      </c>
      <c r="F64" s="26" t="e">
        <f>#REF!</f>
        <v>#REF!</v>
      </c>
      <c r="G64" s="27">
        <f>IFERROR(VLOOKUP(D64,'データ（触らない）'!$R$3:$S$17,2,FALSE),0)</f>
        <v>0</v>
      </c>
      <c r="H64" s="27" t="e">
        <f t="shared" si="5"/>
        <v>#REF!</v>
      </c>
    </row>
    <row r="65" spans="1:8">
      <c r="A65" s="23">
        <v>57</v>
      </c>
      <c r="B65" s="24" t="e">
        <f>#REF!</f>
        <v>#REF!</v>
      </c>
      <c r="C65" s="25" t="e">
        <f>#REF!</f>
        <v>#REF!</v>
      </c>
      <c r="D65" s="26" t="e">
        <f>#REF!</f>
        <v>#REF!</v>
      </c>
      <c r="E65" s="26" t="e">
        <f>#REF!</f>
        <v>#REF!</v>
      </c>
      <c r="F65" s="26" t="e">
        <f>IF(E65=0,0,1)</f>
        <v>#REF!</v>
      </c>
      <c r="G65" s="27" t="e">
        <f>IF(#REF!="〇",#REF!,#REF!)</f>
        <v>#REF!</v>
      </c>
      <c r="H65" s="27" t="e">
        <f t="shared" si="5"/>
        <v>#REF!</v>
      </c>
    </row>
    <row r="66" spans="1:8">
      <c r="A66" s="23">
        <v>58</v>
      </c>
      <c r="B66" s="24" t="e">
        <f>#REF!</f>
        <v>#REF!</v>
      </c>
      <c r="C66" s="25" t="e">
        <f>#REF!</f>
        <v>#REF!</v>
      </c>
      <c r="D66" s="26" t="e">
        <f>#REF!</f>
        <v>#REF!</v>
      </c>
      <c r="E66" s="26" t="s">
        <v>64</v>
      </c>
      <c r="F66" s="26" t="e">
        <f>#REF!</f>
        <v>#REF!</v>
      </c>
      <c r="G66" s="27">
        <f>IFERROR(VLOOKUP(D66,'データ（触らない）'!$R$21:$S$29,2,FALSE),0)</f>
        <v>0</v>
      </c>
      <c r="H66" s="27" t="e">
        <f t="shared" si="5"/>
        <v>#REF!</v>
      </c>
    </row>
    <row r="67" spans="1:8">
      <c r="A67" s="23">
        <v>59</v>
      </c>
      <c r="B67" s="24" t="e">
        <f>#REF!</f>
        <v>#REF!</v>
      </c>
      <c r="C67" s="25" t="e">
        <f>#REF!</f>
        <v>#REF!</v>
      </c>
      <c r="D67" s="26" t="e">
        <f>#REF!</f>
        <v>#REF!</v>
      </c>
      <c r="E67" s="26" t="s">
        <v>64</v>
      </c>
      <c r="F67" s="26" t="e">
        <f>#REF!</f>
        <v>#REF!</v>
      </c>
      <c r="G67" s="27">
        <f>IFERROR(VLOOKUP(D67,'データ（触らない）'!$R$21:$S$29,2,FALSE),0)</f>
        <v>0</v>
      </c>
      <c r="H67" s="27" t="e">
        <f t="shared" si="5"/>
        <v>#REF!</v>
      </c>
    </row>
    <row r="68" spans="1:8">
      <c r="A68" s="23">
        <v>60</v>
      </c>
      <c r="B68" s="24" t="e">
        <f>#REF!</f>
        <v>#REF!</v>
      </c>
      <c r="C68" s="25" t="e">
        <f>#REF!</f>
        <v>#REF!</v>
      </c>
      <c r="D68" s="26" t="e">
        <f>#REF!</f>
        <v>#REF!</v>
      </c>
      <c r="E68" s="26" t="s">
        <v>64</v>
      </c>
      <c r="F68" s="26" t="e">
        <f>#REF!</f>
        <v>#REF!</v>
      </c>
      <c r="G68" s="27">
        <f>IFERROR(VLOOKUP(D68,'データ（触らない）'!$R$21:$S$29,2,FALSE),0)</f>
        <v>0</v>
      </c>
      <c r="H68" s="27" t="e">
        <f t="shared" si="5"/>
        <v>#REF!</v>
      </c>
    </row>
    <row r="69" spans="1:8">
      <c r="A69" s="23">
        <v>61</v>
      </c>
      <c r="B69" s="24" t="e">
        <f>#REF!</f>
        <v>#REF!</v>
      </c>
      <c r="C69" s="25" t="e">
        <f>#REF!</f>
        <v>#REF!</v>
      </c>
      <c r="D69" s="26" t="e">
        <f>#REF!</f>
        <v>#REF!</v>
      </c>
      <c r="E69" s="26" t="s">
        <v>64</v>
      </c>
      <c r="F69" s="26" t="e">
        <f>#REF!</f>
        <v>#REF!</v>
      </c>
      <c r="G69" s="27">
        <f>IFERROR(VLOOKUP(D69,'データ（触らない）'!$R$21:$S$29,2,FALSE),0)</f>
        <v>0</v>
      </c>
      <c r="H69" s="27" t="e">
        <f t="shared" si="5"/>
        <v>#REF!</v>
      </c>
    </row>
    <row r="70" spans="1:8">
      <c r="A70" s="23">
        <v>62</v>
      </c>
      <c r="B70" s="24" t="e">
        <f>#REF!</f>
        <v>#REF!</v>
      </c>
      <c r="C70" s="25" t="e">
        <f>#REF!</f>
        <v>#REF!</v>
      </c>
      <c r="D70" s="26" t="e">
        <f>#REF!</f>
        <v>#REF!</v>
      </c>
      <c r="E70" s="26" t="s">
        <v>64</v>
      </c>
      <c r="F70" s="26" t="e">
        <f>#REF!</f>
        <v>#REF!</v>
      </c>
      <c r="G70" s="27">
        <f>IFERROR(VLOOKUP(D70,'データ（触らない）'!$R$21:$S$29,2,FALSE),0)</f>
        <v>0</v>
      </c>
      <c r="H70" s="27" t="e">
        <f t="shared" si="5"/>
        <v>#REF!</v>
      </c>
    </row>
    <row r="71" spans="1:8">
      <c r="A71" s="23">
        <v>63</v>
      </c>
      <c r="B71" s="24" t="e">
        <f>#REF!</f>
        <v>#REF!</v>
      </c>
      <c r="C71" s="25" t="e">
        <f>#REF!</f>
        <v>#REF!</v>
      </c>
      <c r="D71" s="26" t="e">
        <f>#REF!</f>
        <v>#REF!</v>
      </c>
      <c r="E71" s="26" t="s">
        <v>64</v>
      </c>
      <c r="F71" s="26" t="e">
        <f>#REF!</f>
        <v>#REF!</v>
      </c>
      <c r="G71" s="27">
        <f>IFERROR(VLOOKUP(D71,'データ（触らない）'!$R$21:$S$29,2,FALSE),0)</f>
        <v>0</v>
      </c>
      <c r="H71" s="27" t="e">
        <f t="shared" si="5"/>
        <v>#REF!</v>
      </c>
    </row>
    <row r="72" spans="1:8">
      <c r="A72" s="23">
        <v>64</v>
      </c>
      <c r="B72" s="24" t="e">
        <f>#REF!</f>
        <v>#REF!</v>
      </c>
      <c r="C72" s="25" t="e">
        <f>#REF!</f>
        <v>#REF!</v>
      </c>
      <c r="D72" s="26" t="e">
        <f>#REF!</f>
        <v>#REF!</v>
      </c>
      <c r="E72" s="26" t="e">
        <f>#REF!</f>
        <v>#REF!</v>
      </c>
      <c r="F72" s="26" t="e">
        <f t="shared" ref="F72" si="6">IF(E72=0,0,1)</f>
        <v>#REF!</v>
      </c>
      <c r="G72" s="27" t="e">
        <f>IF(#REF!="〇",#REF!,#REF!)</f>
        <v>#REF!</v>
      </c>
      <c r="H72" s="27" t="e">
        <f t="shared" si="5"/>
        <v>#REF!</v>
      </c>
    </row>
    <row r="73" spans="1:8">
      <c r="A73" s="23">
        <v>65</v>
      </c>
      <c r="B73" s="24" t="e">
        <f>#REF!</f>
        <v>#REF!</v>
      </c>
      <c r="C73" s="25" t="e">
        <f>#REF!</f>
        <v>#REF!</v>
      </c>
      <c r="D73" s="26" t="e">
        <f>#REF!</f>
        <v>#REF!</v>
      </c>
      <c r="E73" s="26" t="s">
        <v>64</v>
      </c>
      <c r="F73" s="26" t="e">
        <f>#REF!</f>
        <v>#REF!</v>
      </c>
      <c r="G73" s="27">
        <f>IFERROR(VLOOKUP(D73,'データ（触らない）'!$R$33:$S$40,2,FALSE),0)</f>
        <v>0</v>
      </c>
      <c r="H73" s="27" t="e">
        <f t="shared" si="5"/>
        <v>#REF!</v>
      </c>
    </row>
    <row r="74" spans="1:8">
      <c r="A74" s="23">
        <v>66</v>
      </c>
      <c r="B74" s="24" t="e">
        <f>#REF!</f>
        <v>#REF!</v>
      </c>
      <c r="C74" s="25" t="e">
        <f>#REF!</f>
        <v>#REF!</v>
      </c>
      <c r="D74" s="26" t="e">
        <f>#REF!</f>
        <v>#REF!</v>
      </c>
      <c r="E74" s="26" t="s">
        <v>64</v>
      </c>
      <c r="F74" s="26" t="e">
        <f>#REF!</f>
        <v>#REF!</v>
      </c>
      <c r="G74" s="27">
        <f>IFERROR(VLOOKUP(D74,'データ（触らない）'!$R$33:$S$40,2,FALSE),0)</f>
        <v>0</v>
      </c>
      <c r="H74" s="27" t="e">
        <f t="shared" si="5"/>
        <v>#REF!</v>
      </c>
    </row>
    <row r="75" spans="1:8">
      <c r="A75" s="23">
        <v>67</v>
      </c>
      <c r="B75" s="24" t="e">
        <f>#REF!</f>
        <v>#REF!</v>
      </c>
      <c r="C75" s="25" t="e">
        <f>#REF!</f>
        <v>#REF!</v>
      </c>
      <c r="D75" s="26" t="e">
        <f>#REF!</f>
        <v>#REF!</v>
      </c>
      <c r="E75" s="26" t="s">
        <v>64</v>
      </c>
      <c r="F75" s="26" t="e">
        <f>#REF!</f>
        <v>#REF!</v>
      </c>
      <c r="G75" s="27">
        <f>IFERROR(VLOOKUP(D75,'データ（触らない）'!$R$33:$S$40,2,FALSE),0)</f>
        <v>0</v>
      </c>
      <c r="H75" s="27" t="e">
        <f t="shared" si="5"/>
        <v>#REF!</v>
      </c>
    </row>
    <row r="76" spans="1:8">
      <c r="A76" s="23">
        <v>68</v>
      </c>
      <c r="B76" s="24" t="e">
        <f>#REF!</f>
        <v>#REF!</v>
      </c>
      <c r="C76" s="25" t="e">
        <f>#REF!</f>
        <v>#REF!</v>
      </c>
      <c r="D76" s="26" t="e">
        <f>#REF!</f>
        <v>#REF!</v>
      </c>
      <c r="E76" s="26" t="s">
        <v>64</v>
      </c>
      <c r="F76" s="26" t="e">
        <f>#REF!</f>
        <v>#REF!</v>
      </c>
      <c r="G76" s="27">
        <f>IFERROR(VLOOKUP(D76,'データ（触らない）'!$R$33:$S$40,2,FALSE),0)</f>
        <v>0</v>
      </c>
      <c r="H76" s="27" t="e">
        <f t="shared" si="5"/>
        <v>#REF!</v>
      </c>
    </row>
    <row r="77" spans="1:8">
      <c r="A77" s="23">
        <v>69</v>
      </c>
      <c r="B77" s="24" t="e">
        <f>#REF!</f>
        <v>#REF!</v>
      </c>
      <c r="C77" s="25" t="e">
        <f>#REF!</f>
        <v>#REF!</v>
      </c>
      <c r="D77" s="26" t="e">
        <f>#REF!</f>
        <v>#REF!</v>
      </c>
      <c r="E77" s="26" t="s">
        <v>64</v>
      </c>
      <c r="F77" s="26" t="e">
        <f>#REF!</f>
        <v>#REF!</v>
      </c>
      <c r="G77" s="27">
        <f>IFERROR(VLOOKUP(D77,'データ（触らない）'!$R$33:$S$40,2,FALSE),0)</f>
        <v>0</v>
      </c>
      <c r="H77" s="27" t="e">
        <f t="shared" si="5"/>
        <v>#REF!</v>
      </c>
    </row>
    <row r="78" spans="1:8">
      <c r="A78" s="23">
        <v>70</v>
      </c>
      <c r="B78" s="24" t="e">
        <f>#REF!</f>
        <v>#REF!</v>
      </c>
      <c r="C78" s="25" t="e">
        <f>#REF!</f>
        <v>#REF!</v>
      </c>
      <c r="D78" s="26" t="e">
        <f>#REF!</f>
        <v>#REF!</v>
      </c>
      <c r="E78" s="26" t="s">
        <v>64</v>
      </c>
      <c r="F78" s="26" t="e">
        <f>#REF!</f>
        <v>#REF!</v>
      </c>
      <c r="G78" s="27">
        <f>IFERROR(VLOOKUP(D78,'データ（触らない）'!$R$44:$S$60,2,FALSE),0)</f>
        <v>0</v>
      </c>
      <c r="H78" s="27" t="e">
        <f t="shared" si="5"/>
        <v>#REF!</v>
      </c>
    </row>
    <row r="79" spans="1:8">
      <c r="A79" s="23">
        <v>71</v>
      </c>
      <c r="B79" s="24" t="e">
        <f>#REF!</f>
        <v>#REF!</v>
      </c>
      <c r="C79" s="25" t="e">
        <f>#REF!</f>
        <v>#REF!</v>
      </c>
      <c r="D79" s="26" t="e">
        <f>#REF!</f>
        <v>#REF!</v>
      </c>
      <c r="E79" s="26" t="s">
        <v>64</v>
      </c>
      <c r="F79" s="26" t="e">
        <f>#REF!</f>
        <v>#REF!</v>
      </c>
      <c r="G79" s="27">
        <f>IFERROR(VLOOKUP(D79,'データ（触らない）'!$R$44:$S$60,2,FALSE),0)</f>
        <v>0</v>
      </c>
      <c r="H79" s="27" t="e">
        <f t="shared" si="5"/>
        <v>#REF!</v>
      </c>
    </row>
    <row r="80" spans="1:8">
      <c r="A80" s="23">
        <v>72</v>
      </c>
      <c r="B80" s="24" t="e">
        <f>#REF!</f>
        <v>#REF!</v>
      </c>
      <c r="C80" s="25" t="e">
        <f>#REF!</f>
        <v>#REF!</v>
      </c>
      <c r="D80" s="26" t="e">
        <f>#REF!</f>
        <v>#REF!</v>
      </c>
      <c r="E80" s="26" t="s">
        <v>64</v>
      </c>
      <c r="F80" s="26" t="e">
        <f>#REF!</f>
        <v>#REF!</v>
      </c>
      <c r="G80" s="27">
        <f>IFERROR(VLOOKUP(D80,'データ（触らない）'!$R$44:$S$60,2,FALSE),0)</f>
        <v>0</v>
      </c>
      <c r="H80" s="27" t="e">
        <f t="shared" si="5"/>
        <v>#REF!</v>
      </c>
    </row>
    <row r="81" spans="1:8">
      <c r="A81" s="23">
        <v>73</v>
      </c>
      <c r="B81" s="24" t="e">
        <f>#REF!</f>
        <v>#REF!</v>
      </c>
      <c r="C81" s="25" t="e">
        <f>#REF!</f>
        <v>#REF!</v>
      </c>
      <c r="D81" s="26" t="e">
        <f>#REF!</f>
        <v>#REF!</v>
      </c>
      <c r="E81" s="26" t="s">
        <v>64</v>
      </c>
      <c r="F81" s="26" t="e">
        <f>#REF!</f>
        <v>#REF!</v>
      </c>
      <c r="G81" s="27">
        <f>IFERROR(VLOOKUP(D81,'データ（触らない）'!$R$44:$S$60,2,FALSE),0)</f>
        <v>0</v>
      </c>
      <c r="H81" s="27" t="e">
        <f t="shared" si="5"/>
        <v>#REF!</v>
      </c>
    </row>
    <row r="82" spans="1:8">
      <c r="A82" s="23">
        <v>74</v>
      </c>
      <c r="B82" s="24" t="e">
        <f>#REF!</f>
        <v>#REF!</v>
      </c>
      <c r="C82" s="25" t="e">
        <f>#REF!</f>
        <v>#REF!</v>
      </c>
      <c r="D82" s="26" t="e">
        <f>#REF!</f>
        <v>#REF!</v>
      </c>
      <c r="E82" s="26" t="s">
        <v>64</v>
      </c>
      <c r="F82" s="26" t="e">
        <f>#REF!</f>
        <v>#REF!</v>
      </c>
      <c r="G82" s="27">
        <f>IFERROR(VLOOKUP(D82,'データ（触らない）'!$R$44:$S$60,2,FALSE),0)</f>
        <v>0</v>
      </c>
      <c r="H82" s="27" t="e">
        <f t="shared" si="5"/>
        <v>#REF!</v>
      </c>
    </row>
    <row r="83" spans="1:8">
      <c r="A83" s="23">
        <v>75</v>
      </c>
      <c r="B83" s="24" t="e">
        <f>#REF!</f>
        <v>#REF!</v>
      </c>
      <c r="C83" s="25" t="e">
        <f>#REF!</f>
        <v>#REF!</v>
      </c>
      <c r="D83" s="26" t="e">
        <f>#REF!</f>
        <v>#REF!</v>
      </c>
      <c r="E83" s="26" t="s">
        <v>64</v>
      </c>
      <c r="F83" s="26" t="e">
        <f>#REF!</f>
        <v>#REF!</v>
      </c>
      <c r="G83" s="27">
        <f>IFERROR(VLOOKUP(D83,'データ（触らない）'!$R$44:$S$60,2,FALSE),0)</f>
        <v>0</v>
      </c>
      <c r="H83" s="27" t="e">
        <f t="shared" si="5"/>
        <v>#REF!</v>
      </c>
    </row>
    <row r="84" spans="1:8">
      <c r="A84" s="23">
        <v>76</v>
      </c>
      <c r="B84" s="24" t="e">
        <f>#REF!</f>
        <v>#REF!</v>
      </c>
      <c r="C84" s="25" t="e">
        <f>#REF!</f>
        <v>#REF!</v>
      </c>
      <c r="D84" s="26" t="e">
        <f>#REF!</f>
        <v>#REF!</v>
      </c>
      <c r="E84" s="26" t="s">
        <v>64</v>
      </c>
      <c r="F84" s="26" t="e">
        <f>#REF!</f>
        <v>#REF!</v>
      </c>
      <c r="G84" s="27">
        <f>IFERROR(VLOOKUP(D84,'データ（触らない）'!$R$44:$S$60,2,FALSE),0)</f>
        <v>0</v>
      </c>
      <c r="H84" s="27" t="e">
        <f t="shared" si="5"/>
        <v>#REF!</v>
      </c>
    </row>
    <row r="85" spans="1:8">
      <c r="A85" s="23">
        <v>77</v>
      </c>
      <c r="B85" s="24" t="e">
        <f>#REF!</f>
        <v>#REF!</v>
      </c>
      <c r="C85" s="25" t="e">
        <f>#REF!</f>
        <v>#REF!</v>
      </c>
      <c r="D85" s="26" t="e">
        <f>#REF!</f>
        <v>#REF!</v>
      </c>
      <c r="E85" s="26" t="s">
        <v>64</v>
      </c>
      <c r="F85" s="26" t="e">
        <f>#REF!</f>
        <v>#REF!</v>
      </c>
      <c r="G85" s="27">
        <f>IFERROR(VLOOKUP(D85,'データ（触らない）'!$R$44:$S$60,2,FALSE),0)</f>
        <v>0</v>
      </c>
      <c r="H85" s="27" t="e">
        <f t="shared" si="5"/>
        <v>#REF!</v>
      </c>
    </row>
    <row r="86" spans="1:8">
      <c r="A86" s="23">
        <v>78</v>
      </c>
      <c r="B86" s="24" t="e">
        <f>#REF!</f>
        <v>#REF!</v>
      </c>
      <c r="C86" s="25" t="e">
        <f>#REF!</f>
        <v>#REF!</v>
      </c>
      <c r="D86" s="26" t="e">
        <f>#REF!</f>
        <v>#REF!</v>
      </c>
      <c r="E86" s="26" t="s">
        <v>64</v>
      </c>
      <c r="F86" s="26" t="e">
        <f>#REF!</f>
        <v>#REF!</v>
      </c>
      <c r="G86" s="27">
        <f>IFERROR(VLOOKUP(D86,'データ（触らない）'!$R$44:$S$60,2,FALSE),0)</f>
        <v>0</v>
      </c>
      <c r="H86" s="27" t="e">
        <f t="shared" si="5"/>
        <v>#REF!</v>
      </c>
    </row>
    <row r="87" spans="1:8">
      <c r="A87" s="23">
        <v>79</v>
      </c>
      <c r="B87" s="24" t="e">
        <f>#REF!</f>
        <v>#REF!</v>
      </c>
      <c r="C87" s="25" t="e">
        <f>#REF!</f>
        <v>#REF!</v>
      </c>
      <c r="D87" s="26" t="e">
        <f>#REF!</f>
        <v>#REF!</v>
      </c>
      <c r="E87" s="26" t="s">
        <v>64</v>
      </c>
      <c r="F87" s="26" t="e">
        <f>#REF!</f>
        <v>#REF!</v>
      </c>
      <c r="G87" s="27">
        <f>IFERROR(VLOOKUP(D87,'データ（触らない）'!$R$44:$S$60,2,FALSE),0)</f>
        <v>0</v>
      </c>
      <c r="H87" s="27" t="e">
        <f t="shared" si="5"/>
        <v>#REF!</v>
      </c>
    </row>
    <row r="88" spans="1:8">
      <c r="A88" s="23">
        <v>80</v>
      </c>
      <c r="B88" s="24" t="e">
        <f>#REF!</f>
        <v>#REF!</v>
      </c>
      <c r="C88" s="25" t="e">
        <f>#REF!</f>
        <v>#REF!</v>
      </c>
      <c r="D88" s="26" t="e">
        <f>#REF!</f>
        <v>#REF!</v>
      </c>
      <c r="E88" s="26" t="s">
        <v>64</v>
      </c>
      <c r="F88" s="26" t="e">
        <f>#REF!</f>
        <v>#REF!</v>
      </c>
      <c r="G88" s="27">
        <f>IFERROR(VLOOKUP(D88,'データ（触らない）'!$R$44:$S$60,2,FALSE),0)</f>
        <v>0</v>
      </c>
      <c r="H88" s="27" t="e">
        <f t="shared" si="5"/>
        <v>#REF!</v>
      </c>
    </row>
    <row r="89" spans="1:8">
      <c r="A89" s="23">
        <v>81</v>
      </c>
      <c r="B89" s="24" t="e">
        <f>#REF!</f>
        <v>#REF!</v>
      </c>
      <c r="C89" s="25" t="e">
        <f>#REF!</f>
        <v>#REF!</v>
      </c>
      <c r="D89" s="26" t="e">
        <f>#REF!</f>
        <v>#REF!</v>
      </c>
      <c r="E89" s="26" t="s">
        <v>64</v>
      </c>
      <c r="F89" s="26" t="e">
        <f>#REF!</f>
        <v>#REF!</v>
      </c>
      <c r="G89" s="27">
        <f>IFERROR(VLOOKUP(D89,'データ（触らない）'!$R$44:$S$60,2,FALSE),0)</f>
        <v>0</v>
      </c>
      <c r="H89" s="27" t="e">
        <f t="shared" si="5"/>
        <v>#REF!</v>
      </c>
    </row>
    <row r="90" spans="1:8">
      <c r="A90" s="23">
        <v>82</v>
      </c>
      <c r="B90" s="24" t="e">
        <f>#REF!</f>
        <v>#REF!</v>
      </c>
      <c r="C90" s="25" t="e">
        <f>#REF!</f>
        <v>#REF!</v>
      </c>
      <c r="D90" s="26" t="e">
        <f>#REF!</f>
        <v>#REF!</v>
      </c>
      <c r="E90" s="26" t="s">
        <v>64</v>
      </c>
      <c r="F90" s="26" t="e">
        <f>#REF!</f>
        <v>#REF!</v>
      </c>
      <c r="G90" s="27">
        <f>IFERROR(VLOOKUP(D90,'データ（触らない）'!$R$44:$S$60,2,FALSE),0)</f>
        <v>0</v>
      </c>
      <c r="H90" s="27" t="e">
        <f t="shared" si="5"/>
        <v>#REF!</v>
      </c>
    </row>
    <row r="91" spans="1:8">
      <c r="A91">
        <v>83</v>
      </c>
      <c r="B91" s="21" t="e">
        <f>#REF!</f>
        <v>#REF!</v>
      </c>
      <c r="C91" s="20" t="e">
        <f>#REF!</f>
        <v>#REF!</v>
      </c>
      <c r="D91" s="1" t="e">
        <f>#REF!</f>
        <v>#REF!</v>
      </c>
      <c r="E91" s="1" t="e">
        <f>#REF!</f>
        <v>#REF!</v>
      </c>
      <c r="F91" s="1" t="e">
        <f>IF(E91=0,0,1)</f>
        <v>#REF!</v>
      </c>
      <c r="G91" s="22" t="e">
        <f>IF(#REF!="〇",#REF!,#REF!)</f>
        <v>#REF!</v>
      </c>
      <c r="H91" s="22" t="e">
        <f>F91*G91</f>
        <v>#REF!</v>
      </c>
    </row>
    <row r="92" spans="1:8">
      <c r="A92">
        <v>84</v>
      </c>
      <c r="B92" s="21" t="e">
        <f>#REF!</f>
        <v>#REF!</v>
      </c>
      <c r="C92" s="20" t="e">
        <f>#REF!</f>
        <v>#REF!</v>
      </c>
      <c r="D92" s="1" t="e">
        <f>#REF!</f>
        <v>#REF!</v>
      </c>
      <c r="E92" s="1" t="e">
        <f>#REF!</f>
        <v>#REF!</v>
      </c>
      <c r="F92" s="1" t="e">
        <f t="shared" ref="F92:F95" si="7">IF(E92=0,0,1)</f>
        <v>#REF!</v>
      </c>
      <c r="G92" s="22" t="e">
        <f>IF(#REF!="〇",#REF!,#REF!)</f>
        <v>#REF!</v>
      </c>
      <c r="H92" s="22" t="e">
        <f t="shared" ref="H92:H131" si="8">F92*G92</f>
        <v>#REF!</v>
      </c>
    </row>
    <row r="93" spans="1:8">
      <c r="A93">
        <v>85</v>
      </c>
      <c r="B93" s="21" t="e">
        <f>#REF!</f>
        <v>#REF!</v>
      </c>
      <c r="C93" s="20" t="e">
        <f>#REF!</f>
        <v>#REF!</v>
      </c>
      <c r="D93" s="1" t="e">
        <f>#REF!</f>
        <v>#REF!</v>
      </c>
      <c r="E93" s="1" t="e">
        <f>#REF!</f>
        <v>#REF!</v>
      </c>
      <c r="F93" s="1" t="e">
        <f t="shared" si="7"/>
        <v>#REF!</v>
      </c>
      <c r="G93" s="22" t="e">
        <f>IF(#REF!="〇",#REF!,#REF!)</f>
        <v>#REF!</v>
      </c>
      <c r="H93" s="22" t="e">
        <f t="shared" si="8"/>
        <v>#REF!</v>
      </c>
    </row>
    <row r="94" spans="1:8">
      <c r="A94">
        <v>86</v>
      </c>
      <c r="B94" s="21" t="e">
        <f>#REF!</f>
        <v>#REF!</v>
      </c>
      <c r="C94" s="20" t="e">
        <f>#REF!</f>
        <v>#REF!</v>
      </c>
      <c r="D94" s="1" t="e">
        <f>#REF!</f>
        <v>#REF!</v>
      </c>
      <c r="E94" s="1" t="e">
        <f>#REF!</f>
        <v>#REF!</v>
      </c>
      <c r="F94" s="1" t="e">
        <f t="shared" si="7"/>
        <v>#REF!</v>
      </c>
      <c r="G94" s="22" t="e">
        <f>IF(#REF!="〇",#REF!,#REF!)</f>
        <v>#REF!</v>
      </c>
      <c r="H94" s="22" t="e">
        <f t="shared" si="8"/>
        <v>#REF!</v>
      </c>
    </row>
    <row r="95" spans="1:8">
      <c r="A95">
        <v>87</v>
      </c>
      <c r="B95" s="21" t="e">
        <f>#REF!</f>
        <v>#REF!</v>
      </c>
      <c r="C95" s="20" t="e">
        <f>#REF!</f>
        <v>#REF!</v>
      </c>
      <c r="D95" s="1" t="e">
        <f>#REF!</f>
        <v>#REF!</v>
      </c>
      <c r="E95" s="1" t="e">
        <f>#REF!&amp;"～"&amp;#REF!</f>
        <v>#REF!</v>
      </c>
      <c r="F95" s="1" t="e">
        <f t="shared" si="7"/>
        <v>#REF!</v>
      </c>
      <c r="G95" s="22" t="e">
        <f>IF(#REF!="〇",#REF!,#REF!)</f>
        <v>#REF!</v>
      </c>
      <c r="H95" s="22" t="e">
        <f t="shared" si="8"/>
        <v>#REF!</v>
      </c>
    </row>
    <row r="96" spans="1:8">
      <c r="A96">
        <v>88</v>
      </c>
      <c r="B96" s="21" t="e">
        <f>#REF!</f>
        <v>#REF!</v>
      </c>
      <c r="C96" s="20" t="e">
        <f>#REF!</f>
        <v>#REF!</v>
      </c>
      <c r="D96" s="1" t="e">
        <f>#REF!</f>
        <v>#REF!</v>
      </c>
      <c r="E96" s="1" t="s">
        <v>63</v>
      </c>
      <c r="F96" s="1" t="e">
        <f>#REF!</f>
        <v>#REF!</v>
      </c>
      <c r="G96" s="22">
        <f>IFERROR(VLOOKUP(D96,'データ（触らない）'!$R$3:$S$17,2,FALSE),0)</f>
        <v>0</v>
      </c>
      <c r="H96" s="22" t="e">
        <f t="shared" si="8"/>
        <v>#REF!</v>
      </c>
    </row>
    <row r="97" spans="1:8">
      <c r="A97">
        <v>89</v>
      </c>
      <c r="B97" s="21" t="e">
        <f>#REF!</f>
        <v>#REF!</v>
      </c>
      <c r="C97" s="20" t="e">
        <f>#REF!</f>
        <v>#REF!</v>
      </c>
      <c r="D97" s="1" t="e">
        <f>#REF!</f>
        <v>#REF!</v>
      </c>
      <c r="E97" s="1" t="s">
        <v>63</v>
      </c>
      <c r="F97" s="1" t="e">
        <f>#REF!</f>
        <v>#REF!</v>
      </c>
      <c r="G97" s="22">
        <f>IFERROR(VLOOKUP(D97,'データ（触らない）'!$R$3:$S$17,2,FALSE),0)</f>
        <v>0</v>
      </c>
      <c r="H97" s="22" t="e">
        <f t="shared" si="8"/>
        <v>#REF!</v>
      </c>
    </row>
    <row r="98" spans="1:8">
      <c r="A98">
        <v>90</v>
      </c>
      <c r="B98" s="21" t="e">
        <f>#REF!</f>
        <v>#REF!</v>
      </c>
      <c r="C98" s="20" t="e">
        <f>#REF!</f>
        <v>#REF!</v>
      </c>
      <c r="D98" s="1" t="e">
        <f>#REF!</f>
        <v>#REF!</v>
      </c>
      <c r="E98" s="1" t="s">
        <v>63</v>
      </c>
      <c r="F98" s="1" t="e">
        <f>#REF!</f>
        <v>#REF!</v>
      </c>
      <c r="G98" s="22">
        <f>IFERROR(VLOOKUP(D98,'データ（触らない）'!$R$3:$S$17,2,FALSE),0)</f>
        <v>0</v>
      </c>
      <c r="H98" s="22" t="e">
        <f t="shared" si="8"/>
        <v>#REF!</v>
      </c>
    </row>
    <row r="99" spans="1:8">
      <c r="A99">
        <v>91</v>
      </c>
      <c r="B99" s="21" t="e">
        <f>#REF!</f>
        <v>#REF!</v>
      </c>
      <c r="C99" s="20" t="e">
        <f>#REF!</f>
        <v>#REF!</v>
      </c>
      <c r="D99" s="1" t="e">
        <f>#REF!</f>
        <v>#REF!</v>
      </c>
      <c r="E99" s="1" t="s">
        <v>63</v>
      </c>
      <c r="F99" s="1" t="e">
        <f>#REF!</f>
        <v>#REF!</v>
      </c>
      <c r="G99" s="22">
        <f>IFERROR(VLOOKUP(D99,'データ（触らない）'!$R$3:$S$17,2,FALSE),0)</f>
        <v>0</v>
      </c>
      <c r="H99" s="22" t="e">
        <f t="shared" si="8"/>
        <v>#REF!</v>
      </c>
    </row>
    <row r="100" spans="1:8">
      <c r="A100">
        <v>92</v>
      </c>
      <c r="B100" s="21" t="e">
        <f>#REF!</f>
        <v>#REF!</v>
      </c>
      <c r="C100" s="20" t="e">
        <f>#REF!</f>
        <v>#REF!</v>
      </c>
      <c r="D100" s="1" t="e">
        <f>#REF!</f>
        <v>#REF!</v>
      </c>
      <c r="E100" s="1" t="s">
        <v>63</v>
      </c>
      <c r="F100" s="1" t="e">
        <f>#REF!</f>
        <v>#REF!</v>
      </c>
      <c r="G100" s="22">
        <f>IFERROR(VLOOKUP(D100,'データ（触らない）'!$R$3:$S$17,2,FALSE),0)</f>
        <v>0</v>
      </c>
      <c r="H100" s="22" t="e">
        <f t="shared" si="8"/>
        <v>#REF!</v>
      </c>
    </row>
    <row r="101" spans="1:8">
      <c r="A101">
        <v>93</v>
      </c>
      <c r="B101" s="21" t="e">
        <f>#REF!</f>
        <v>#REF!</v>
      </c>
      <c r="C101" s="20" t="e">
        <f>#REF!</f>
        <v>#REF!</v>
      </c>
      <c r="D101" s="1" t="e">
        <f>#REF!</f>
        <v>#REF!</v>
      </c>
      <c r="E101" s="1" t="s">
        <v>63</v>
      </c>
      <c r="F101" s="1" t="e">
        <f>#REF!</f>
        <v>#REF!</v>
      </c>
      <c r="G101" s="22">
        <f>IFERROR(VLOOKUP(D101,'データ（触らない）'!$R$3:$S$17,2,FALSE),0)</f>
        <v>0</v>
      </c>
      <c r="H101" s="22" t="e">
        <f t="shared" si="8"/>
        <v>#REF!</v>
      </c>
    </row>
    <row r="102" spans="1:8">
      <c r="A102">
        <v>94</v>
      </c>
      <c r="B102" s="21" t="e">
        <f>#REF!</f>
        <v>#REF!</v>
      </c>
      <c r="C102" s="20" t="e">
        <f>#REF!</f>
        <v>#REF!</v>
      </c>
      <c r="D102" s="1" t="e">
        <f>#REF!</f>
        <v>#REF!</v>
      </c>
      <c r="E102" s="1" t="s">
        <v>63</v>
      </c>
      <c r="F102" s="1" t="e">
        <f>#REF!</f>
        <v>#REF!</v>
      </c>
      <c r="G102" s="22">
        <f>IFERROR(VLOOKUP(D102,'データ（触らない）'!$R$3:$S$17,2,FALSE),0)</f>
        <v>0</v>
      </c>
      <c r="H102" s="22" t="e">
        <f t="shared" si="8"/>
        <v>#REF!</v>
      </c>
    </row>
    <row r="103" spans="1:8">
      <c r="A103">
        <v>95</v>
      </c>
      <c r="B103" s="21" t="e">
        <f>#REF!</f>
        <v>#REF!</v>
      </c>
      <c r="C103" s="20" t="e">
        <f>#REF!</f>
        <v>#REF!</v>
      </c>
      <c r="D103" s="1" t="e">
        <f>#REF!</f>
        <v>#REF!</v>
      </c>
      <c r="E103" s="1" t="s">
        <v>63</v>
      </c>
      <c r="F103" s="1" t="e">
        <f>#REF!</f>
        <v>#REF!</v>
      </c>
      <c r="G103" s="22">
        <f>IFERROR(VLOOKUP(D103,'データ（触らない）'!$R$3:$S$17,2,FALSE),0)</f>
        <v>0</v>
      </c>
      <c r="H103" s="22" t="e">
        <f t="shared" si="8"/>
        <v>#REF!</v>
      </c>
    </row>
    <row r="104" spans="1:8">
      <c r="A104">
        <v>96</v>
      </c>
      <c r="B104" s="21" t="e">
        <f>#REF!</f>
        <v>#REF!</v>
      </c>
      <c r="C104" s="20" t="e">
        <f>#REF!</f>
        <v>#REF!</v>
      </c>
      <c r="D104" s="1" t="e">
        <f>#REF!</f>
        <v>#REF!</v>
      </c>
      <c r="E104" s="1" t="s">
        <v>63</v>
      </c>
      <c r="F104" s="1" t="e">
        <f>#REF!</f>
        <v>#REF!</v>
      </c>
      <c r="G104" s="22">
        <f>IFERROR(VLOOKUP(D104,'データ（触らない）'!$R$3:$S$17,2,FALSE),0)</f>
        <v>0</v>
      </c>
      <c r="H104" s="22" t="e">
        <f t="shared" si="8"/>
        <v>#REF!</v>
      </c>
    </row>
    <row r="105" spans="1:8">
      <c r="A105">
        <v>97</v>
      </c>
      <c r="B105" s="21" t="e">
        <f>#REF!</f>
        <v>#REF!</v>
      </c>
      <c r="C105" s="20" t="e">
        <f>#REF!</f>
        <v>#REF!</v>
      </c>
      <c r="D105" s="1" t="e">
        <f>#REF!</f>
        <v>#REF!</v>
      </c>
      <c r="E105" s="1" t="s">
        <v>63</v>
      </c>
      <c r="F105" s="1" t="e">
        <f>#REF!</f>
        <v>#REF!</v>
      </c>
      <c r="G105" s="22">
        <f>IFERROR(VLOOKUP(D105,'データ（触らない）'!$R$3:$S$17,2,FALSE),0)</f>
        <v>0</v>
      </c>
      <c r="H105" s="22" t="e">
        <f t="shared" si="8"/>
        <v>#REF!</v>
      </c>
    </row>
    <row r="106" spans="1:8">
      <c r="A106">
        <v>98</v>
      </c>
      <c r="B106" s="21" t="e">
        <f>#REF!</f>
        <v>#REF!</v>
      </c>
      <c r="C106" s="20" t="e">
        <f>#REF!</f>
        <v>#REF!</v>
      </c>
      <c r="D106" s="1" t="e">
        <f>#REF!</f>
        <v>#REF!</v>
      </c>
      <c r="E106" s="1" t="e">
        <f>#REF!</f>
        <v>#REF!</v>
      </c>
      <c r="F106" s="1" t="e">
        <f>IF(E106=0,0,1)</f>
        <v>#REF!</v>
      </c>
      <c r="G106" s="22" t="e">
        <f>IF(#REF!="〇",#REF!,#REF!)</f>
        <v>#REF!</v>
      </c>
      <c r="H106" s="22" t="e">
        <f t="shared" si="8"/>
        <v>#REF!</v>
      </c>
    </row>
    <row r="107" spans="1:8">
      <c r="A107">
        <v>99</v>
      </c>
      <c r="B107" s="21" t="e">
        <f>#REF!</f>
        <v>#REF!</v>
      </c>
      <c r="C107" s="20" t="e">
        <f>#REF!</f>
        <v>#REF!</v>
      </c>
      <c r="D107" s="1" t="e">
        <f>#REF!</f>
        <v>#REF!</v>
      </c>
      <c r="E107" s="1" t="s">
        <v>63</v>
      </c>
      <c r="F107" s="1" t="e">
        <f>#REF!</f>
        <v>#REF!</v>
      </c>
      <c r="G107" s="22">
        <f>IFERROR(VLOOKUP(D107,'データ（触らない）'!$R$21:$S$29,2,FALSE),0)</f>
        <v>0</v>
      </c>
      <c r="H107" s="22" t="e">
        <f t="shared" si="8"/>
        <v>#REF!</v>
      </c>
    </row>
    <row r="108" spans="1:8">
      <c r="A108">
        <v>100</v>
      </c>
      <c r="B108" s="21" t="e">
        <f>#REF!</f>
        <v>#REF!</v>
      </c>
      <c r="C108" s="20" t="e">
        <f>#REF!</f>
        <v>#REF!</v>
      </c>
      <c r="D108" s="1" t="e">
        <f>#REF!</f>
        <v>#REF!</v>
      </c>
      <c r="E108" s="1" t="s">
        <v>63</v>
      </c>
      <c r="F108" s="1" t="e">
        <f>#REF!</f>
        <v>#REF!</v>
      </c>
      <c r="G108" s="22">
        <f>IFERROR(VLOOKUP(D108,'データ（触らない）'!$R$21:$S$29,2,FALSE),0)</f>
        <v>0</v>
      </c>
      <c r="H108" s="22" t="e">
        <f t="shared" si="8"/>
        <v>#REF!</v>
      </c>
    </row>
    <row r="109" spans="1:8">
      <c r="A109">
        <v>101</v>
      </c>
      <c r="B109" s="21" t="e">
        <f>#REF!</f>
        <v>#REF!</v>
      </c>
      <c r="C109" s="20" t="e">
        <f>#REF!</f>
        <v>#REF!</v>
      </c>
      <c r="D109" s="1" t="e">
        <f>#REF!</f>
        <v>#REF!</v>
      </c>
      <c r="E109" s="1" t="s">
        <v>63</v>
      </c>
      <c r="F109" s="1" t="e">
        <f>#REF!</f>
        <v>#REF!</v>
      </c>
      <c r="G109" s="22">
        <f>IFERROR(VLOOKUP(D109,'データ（触らない）'!$R$21:$S$29,2,FALSE),0)</f>
        <v>0</v>
      </c>
      <c r="H109" s="22" t="e">
        <f t="shared" si="8"/>
        <v>#REF!</v>
      </c>
    </row>
    <row r="110" spans="1:8">
      <c r="A110">
        <v>102</v>
      </c>
      <c r="B110" s="21" t="e">
        <f>#REF!</f>
        <v>#REF!</v>
      </c>
      <c r="C110" s="20" t="e">
        <f>#REF!</f>
        <v>#REF!</v>
      </c>
      <c r="D110" s="1" t="e">
        <f>#REF!</f>
        <v>#REF!</v>
      </c>
      <c r="E110" s="1" t="s">
        <v>63</v>
      </c>
      <c r="F110" s="1" t="e">
        <f>#REF!</f>
        <v>#REF!</v>
      </c>
      <c r="G110" s="22">
        <f>IFERROR(VLOOKUP(D110,'データ（触らない）'!$R$21:$S$29,2,FALSE),0)</f>
        <v>0</v>
      </c>
      <c r="H110" s="22" t="e">
        <f t="shared" si="8"/>
        <v>#REF!</v>
      </c>
    </row>
    <row r="111" spans="1:8">
      <c r="A111">
        <v>103</v>
      </c>
      <c r="B111" s="21" t="e">
        <f>#REF!</f>
        <v>#REF!</v>
      </c>
      <c r="C111" s="20" t="e">
        <f>#REF!</f>
        <v>#REF!</v>
      </c>
      <c r="D111" s="1" t="e">
        <f>#REF!</f>
        <v>#REF!</v>
      </c>
      <c r="E111" s="1" t="s">
        <v>63</v>
      </c>
      <c r="F111" s="1" t="e">
        <f>#REF!</f>
        <v>#REF!</v>
      </c>
      <c r="G111" s="22">
        <f>IFERROR(VLOOKUP(D111,'データ（触らない）'!$R$21:$S$29,2,FALSE),0)</f>
        <v>0</v>
      </c>
      <c r="H111" s="22" t="e">
        <f t="shared" si="8"/>
        <v>#REF!</v>
      </c>
    </row>
    <row r="112" spans="1:8">
      <c r="A112">
        <v>104</v>
      </c>
      <c r="B112" s="21" t="e">
        <f>#REF!</f>
        <v>#REF!</v>
      </c>
      <c r="C112" s="20" t="e">
        <f>#REF!</f>
        <v>#REF!</v>
      </c>
      <c r="D112" s="1" t="e">
        <f>#REF!</f>
        <v>#REF!</v>
      </c>
      <c r="E112" s="1" t="s">
        <v>63</v>
      </c>
      <c r="F112" s="1" t="e">
        <f>#REF!</f>
        <v>#REF!</v>
      </c>
      <c r="G112" s="22">
        <f>IFERROR(VLOOKUP(D112,'データ（触らない）'!$R$21:$S$29,2,FALSE),0)</f>
        <v>0</v>
      </c>
      <c r="H112" s="22" t="e">
        <f t="shared" si="8"/>
        <v>#REF!</v>
      </c>
    </row>
    <row r="113" spans="1:8">
      <c r="A113">
        <v>105</v>
      </c>
      <c r="B113" s="21" t="e">
        <f>#REF!</f>
        <v>#REF!</v>
      </c>
      <c r="C113" s="20" t="e">
        <f>#REF!</f>
        <v>#REF!</v>
      </c>
      <c r="D113" s="1" t="e">
        <f>#REF!</f>
        <v>#REF!</v>
      </c>
      <c r="E113" s="1" t="e">
        <f>#REF!</f>
        <v>#REF!</v>
      </c>
      <c r="F113" s="1" t="e">
        <f t="shared" ref="F113" si="9">IF(E113=0,0,1)</f>
        <v>#REF!</v>
      </c>
      <c r="G113" s="22" t="e">
        <f>IF(#REF!="〇",#REF!,#REF!)</f>
        <v>#REF!</v>
      </c>
      <c r="H113" s="22" t="e">
        <f t="shared" si="8"/>
        <v>#REF!</v>
      </c>
    </row>
    <row r="114" spans="1:8">
      <c r="A114">
        <v>106</v>
      </c>
      <c r="B114" s="21" t="e">
        <f>#REF!</f>
        <v>#REF!</v>
      </c>
      <c r="C114" s="20" t="e">
        <f>#REF!</f>
        <v>#REF!</v>
      </c>
      <c r="D114" s="1" t="e">
        <f>#REF!</f>
        <v>#REF!</v>
      </c>
      <c r="E114" s="1" t="s">
        <v>63</v>
      </c>
      <c r="F114" s="1" t="e">
        <f>#REF!</f>
        <v>#REF!</v>
      </c>
      <c r="G114" s="22">
        <f>IFERROR(VLOOKUP(D114,'データ（触らない）'!$R$33:$S$40,2,FALSE),0)</f>
        <v>0</v>
      </c>
      <c r="H114" s="22" t="e">
        <f t="shared" si="8"/>
        <v>#REF!</v>
      </c>
    </row>
    <row r="115" spans="1:8">
      <c r="A115">
        <v>107</v>
      </c>
      <c r="B115" s="21" t="e">
        <f>#REF!</f>
        <v>#REF!</v>
      </c>
      <c r="C115" s="20" t="e">
        <f>#REF!</f>
        <v>#REF!</v>
      </c>
      <c r="D115" s="1" t="e">
        <f>#REF!</f>
        <v>#REF!</v>
      </c>
      <c r="E115" s="1" t="s">
        <v>63</v>
      </c>
      <c r="F115" s="1" t="e">
        <f>#REF!</f>
        <v>#REF!</v>
      </c>
      <c r="G115" s="22">
        <f>IFERROR(VLOOKUP(D115,'データ（触らない）'!$R$33:$S$40,2,FALSE),0)</f>
        <v>0</v>
      </c>
      <c r="H115" s="22" t="e">
        <f t="shared" si="8"/>
        <v>#REF!</v>
      </c>
    </row>
    <row r="116" spans="1:8">
      <c r="A116">
        <v>108</v>
      </c>
      <c r="B116" s="21" t="e">
        <f>#REF!</f>
        <v>#REF!</v>
      </c>
      <c r="C116" s="20" t="e">
        <f>#REF!</f>
        <v>#REF!</v>
      </c>
      <c r="D116" s="1" t="e">
        <f>#REF!</f>
        <v>#REF!</v>
      </c>
      <c r="E116" s="1" t="s">
        <v>63</v>
      </c>
      <c r="F116" s="1" t="e">
        <f>#REF!</f>
        <v>#REF!</v>
      </c>
      <c r="G116" s="22">
        <f>IFERROR(VLOOKUP(D116,'データ（触らない）'!$R$33:$S$40,2,FALSE),0)</f>
        <v>0</v>
      </c>
      <c r="H116" s="22" t="e">
        <f t="shared" si="8"/>
        <v>#REF!</v>
      </c>
    </row>
    <row r="117" spans="1:8">
      <c r="A117">
        <v>109</v>
      </c>
      <c r="B117" s="21" t="e">
        <f>#REF!</f>
        <v>#REF!</v>
      </c>
      <c r="C117" s="20" t="e">
        <f>#REF!</f>
        <v>#REF!</v>
      </c>
      <c r="D117" s="1" t="e">
        <f>#REF!</f>
        <v>#REF!</v>
      </c>
      <c r="E117" s="1" t="s">
        <v>63</v>
      </c>
      <c r="F117" s="1" t="e">
        <f>#REF!</f>
        <v>#REF!</v>
      </c>
      <c r="G117" s="22">
        <f>IFERROR(VLOOKUP(D117,'データ（触らない）'!$R$33:$S$40,2,FALSE),0)</f>
        <v>0</v>
      </c>
      <c r="H117" s="22" t="e">
        <f t="shared" si="8"/>
        <v>#REF!</v>
      </c>
    </row>
    <row r="118" spans="1:8">
      <c r="A118">
        <v>110</v>
      </c>
      <c r="B118" s="21" t="e">
        <f>#REF!</f>
        <v>#REF!</v>
      </c>
      <c r="C118" s="20" t="e">
        <f>#REF!</f>
        <v>#REF!</v>
      </c>
      <c r="D118" s="1" t="e">
        <f>#REF!</f>
        <v>#REF!</v>
      </c>
      <c r="E118" s="1" t="s">
        <v>63</v>
      </c>
      <c r="F118" s="1" t="e">
        <f>#REF!</f>
        <v>#REF!</v>
      </c>
      <c r="G118" s="22">
        <f>IFERROR(VLOOKUP(D118,'データ（触らない）'!$R$33:$S$40,2,FALSE),0)</f>
        <v>0</v>
      </c>
      <c r="H118" s="22" t="e">
        <f t="shared" si="8"/>
        <v>#REF!</v>
      </c>
    </row>
    <row r="119" spans="1:8">
      <c r="A119">
        <v>111</v>
      </c>
      <c r="B119" s="21" t="e">
        <f>#REF!</f>
        <v>#REF!</v>
      </c>
      <c r="C119" s="20" t="e">
        <f>#REF!</f>
        <v>#REF!</v>
      </c>
      <c r="D119" s="1" t="e">
        <f>#REF!</f>
        <v>#REF!</v>
      </c>
      <c r="E119" s="1" t="s">
        <v>63</v>
      </c>
      <c r="F119" s="1" t="e">
        <f>#REF!</f>
        <v>#REF!</v>
      </c>
      <c r="G119" s="22">
        <f>IFERROR(VLOOKUP(D119,'データ（触らない）'!$R$44:$S$60,2,FALSE),0)</f>
        <v>0</v>
      </c>
      <c r="H119" s="22" t="e">
        <f t="shared" si="8"/>
        <v>#REF!</v>
      </c>
    </row>
    <row r="120" spans="1:8">
      <c r="A120">
        <v>112</v>
      </c>
      <c r="B120" s="21" t="e">
        <f>#REF!</f>
        <v>#REF!</v>
      </c>
      <c r="C120" s="20" t="e">
        <f>#REF!</f>
        <v>#REF!</v>
      </c>
      <c r="D120" s="1" t="e">
        <f>#REF!</f>
        <v>#REF!</v>
      </c>
      <c r="E120" s="1" t="s">
        <v>63</v>
      </c>
      <c r="F120" s="1" t="e">
        <f>#REF!</f>
        <v>#REF!</v>
      </c>
      <c r="G120" s="22">
        <f>IFERROR(VLOOKUP(D120,'データ（触らない）'!$R$44:$S$60,2,FALSE),0)</f>
        <v>0</v>
      </c>
      <c r="H120" s="22" t="e">
        <f t="shared" si="8"/>
        <v>#REF!</v>
      </c>
    </row>
    <row r="121" spans="1:8">
      <c r="A121">
        <v>113</v>
      </c>
      <c r="B121" s="21" t="e">
        <f>#REF!</f>
        <v>#REF!</v>
      </c>
      <c r="C121" s="20" t="e">
        <f>#REF!</f>
        <v>#REF!</v>
      </c>
      <c r="D121" s="1" t="e">
        <f>#REF!</f>
        <v>#REF!</v>
      </c>
      <c r="E121" s="1" t="s">
        <v>63</v>
      </c>
      <c r="F121" s="1" t="e">
        <f>#REF!</f>
        <v>#REF!</v>
      </c>
      <c r="G121" s="22">
        <f>IFERROR(VLOOKUP(D121,'データ（触らない）'!$R$44:$S$60,2,FALSE),0)</f>
        <v>0</v>
      </c>
      <c r="H121" s="22" t="e">
        <f t="shared" si="8"/>
        <v>#REF!</v>
      </c>
    </row>
    <row r="122" spans="1:8">
      <c r="A122">
        <v>114</v>
      </c>
      <c r="B122" s="21" t="e">
        <f>#REF!</f>
        <v>#REF!</v>
      </c>
      <c r="C122" s="20" t="e">
        <f>#REF!</f>
        <v>#REF!</v>
      </c>
      <c r="D122" s="1" t="e">
        <f>#REF!</f>
        <v>#REF!</v>
      </c>
      <c r="E122" s="1" t="s">
        <v>63</v>
      </c>
      <c r="F122" s="1" t="e">
        <f>#REF!</f>
        <v>#REF!</v>
      </c>
      <c r="G122" s="22">
        <f>IFERROR(VLOOKUP(D122,'データ（触らない）'!$R$44:$S$60,2,FALSE),0)</f>
        <v>0</v>
      </c>
      <c r="H122" s="22" t="e">
        <f t="shared" si="8"/>
        <v>#REF!</v>
      </c>
    </row>
    <row r="123" spans="1:8">
      <c r="A123">
        <v>115</v>
      </c>
      <c r="B123" s="21" t="e">
        <f>#REF!</f>
        <v>#REF!</v>
      </c>
      <c r="C123" s="20" t="e">
        <f>#REF!</f>
        <v>#REF!</v>
      </c>
      <c r="D123" s="1" t="e">
        <f>#REF!</f>
        <v>#REF!</v>
      </c>
      <c r="E123" s="1" t="s">
        <v>63</v>
      </c>
      <c r="F123" s="1" t="e">
        <f>#REF!</f>
        <v>#REF!</v>
      </c>
      <c r="G123" s="22">
        <f>IFERROR(VLOOKUP(D123,'データ（触らない）'!$R$44:$S$60,2,FALSE),0)</f>
        <v>0</v>
      </c>
      <c r="H123" s="22" t="e">
        <f t="shared" si="8"/>
        <v>#REF!</v>
      </c>
    </row>
    <row r="124" spans="1:8">
      <c r="A124">
        <v>116</v>
      </c>
      <c r="B124" s="21" t="e">
        <f>#REF!</f>
        <v>#REF!</v>
      </c>
      <c r="C124" s="20" t="e">
        <f>#REF!</f>
        <v>#REF!</v>
      </c>
      <c r="D124" s="1" t="e">
        <f>#REF!</f>
        <v>#REF!</v>
      </c>
      <c r="E124" s="1" t="s">
        <v>63</v>
      </c>
      <c r="F124" s="1" t="e">
        <f>#REF!</f>
        <v>#REF!</v>
      </c>
      <c r="G124" s="22">
        <f>IFERROR(VLOOKUP(D124,'データ（触らない）'!$R$44:$S$60,2,FALSE),0)</f>
        <v>0</v>
      </c>
      <c r="H124" s="22" t="e">
        <f t="shared" si="8"/>
        <v>#REF!</v>
      </c>
    </row>
    <row r="125" spans="1:8">
      <c r="A125">
        <v>117</v>
      </c>
      <c r="B125" s="21" t="e">
        <f>#REF!</f>
        <v>#REF!</v>
      </c>
      <c r="C125" s="20" t="e">
        <f>#REF!</f>
        <v>#REF!</v>
      </c>
      <c r="D125" s="1" t="e">
        <f>#REF!</f>
        <v>#REF!</v>
      </c>
      <c r="E125" s="1" t="s">
        <v>63</v>
      </c>
      <c r="F125" s="1" t="e">
        <f>#REF!</f>
        <v>#REF!</v>
      </c>
      <c r="G125" s="22">
        <f>IFERROR(VLOOKUP(D125,'データ（触らない）'!$R$44:$S$60,2,FALSE),0)</f>
        <v>0</v>
      </c>
      <c r="H125" s="22" t="e">
        <f t="shared" si="8"/>
        <v>#REF!</v>
      </c>
    </row>
    <row r="126" spans="1:8">
      <c r="A126">
        <v>118</v>
      </c>
      <c r="B126" s="21" t="e">
        <f>#REF!</f>
        <v>#REF!</v>
      </c>
      <c r="C126" s="20" t="e">
        <f>#REF!</f>
        <v>#REF!</v>
      </c>
      <c r="D126" s="1" t="e">
        <f>#REF!</f>
        <v>#REF!</v>
      </c>
      <c r="E126" s="1" t="s">
        <v>63</v>
      </c>
      <c r="F126" s="1" t="e">
        <f>#REF!</f>
        <v>#REF!</v>
      </c>
      <c r="G126" s="22">
        <f>IFERROR(VLOOKUP(D126,'データ（触らない）'!$R$44:$S$60,2,FALSE),0)</f>
        <v>0</v>
      </c>
      <c r="H126" s="22" t="e">
        <f t="shared" si="8"/>
        <v>#REF!</v>
      </c>
    </row>
    <row r="127" spans="1:8">
      <c r="A127">
        <v>119</v>
      </c>
      <c r="B127" s="21" t="e">
        <f>#REF!</f>
        <v>#REF!</v>
      </c>
      <c r="C127" s="20" t="e">
        <f>#REF!</f>
        <v>#REF!</v>
      </c>
      <c r="D127" s="1" t="e">
        <f>#REF!</f>
        <v>#REF!</v>
      </c>
      <c r="E127" s="1" t="s">
        <v>63</v>
      </c>
      <c r="F127" s="1" t="e">
        <f>#REF!</f>
        <v>#REF!</v>
      </c>
      <c r="G127" s="22">
        <f>IFERROR(VLOOKUP(D127,'データ（触らない）'!$R$44:$S$60,2,FALSE),0)</f>
        <v>0</v>
      </c>
      <c r="H127" s="22" t="e">
        <f t="shared" si="8"/>
        <v>#REF!</v>
      </c>
    </row>
    <row r="128" spans="1:8">
      <c r="A128">
        <v>120</v>
      </c>
      <c r="B128" s="21" t="e">
        <f>#REF!</f>
        <v>#REF!</v>
      </c>
      <c r="C128" s="20" t="e">
        <f>#REF!</f>
        <v>#REF!</v>
      </c>
      <c r="D128" s="1" t="e">
        <f>#REF!</f>
        <v>#REF!</v>
      </c>
      <c r="E128" s="1" t="s">
        <v>63</v>
      </c>
      <c r="F128" s="1" t="e">
        <f>#REF!</f>
        <v>#REF!</v>
      </c>
      <c r="G128" s="22">
        <f>IFERROR(VLOOKUP(D128,'データ（触らない）'!$R$44:$S$60,2,FALSE),0)</f>
        <v>0</v>
      </c>
      <c r="H128" s="22" t="e">
        <f t="shared" si="8"/>
        <v>#REF!</v>
      </c>
    </row>
    <row r="129" spans="1:8">
      <c r="A129">
        <v>121</v>
      </c>
      <c r="B129" s="21" t="e">
        <f>#REF!</f>
        <v>#REF!</v>
      </c>
      <c r="C129" s="20" t="e">
        <f>#REF!</f>
        <v>#REF!</v>
      </c>
      <c r="D129" s="1" t="e">
        <f>#REF!</f>
        <v>#REF!</v>
      </c>
      <c r="E129" s="1" t="s">
        <v>63</v>
      </c>
      <c r="F129" s="1" t="e">
        <f>#REF!</f>
        <v>#REF!</v>
      </c>
      <c r="G129" s="22">
        <f>IFERROR(VLOOKUP(D129,'データ（触らない）'!$R$44:$S$60,2,FALSE),0)</f>
        <v>0</v>
      </c>
      <c r="H129" s="22" t="e">
        <f t="shared" si="8"/>
        <v>#REF!</v>
      </c>
    </row>
    <row r="130" spans="1:8">
      <c r="A130">
        <v>122</v>
      </c>
      <c r="B130" s="21" t="e">
        <f>#REF!</f>
        <v>#REF!</v>
      </c>
      <c r="C130" s="20" t="e">
        <f>#REF!</f>
        <v>#REF!</v>
      </c>
      <c r="D130" s="1" t="e">
        <f>#REF!</f>
        <v>#REF!</v>
      </c>
      <c r="E130" s="1" t="s">
        <v>63</v>
      </c>
      <c r="F130" s="1" t="e">
        <f>#REF!</f>
        <v>#REF!</v>
      </c>
      <c r="G130" s="22">
        <f>IFERROR(VLOOKUP(D130,'データ（触らない）'!$R$44:$S$60,2,FALSE),0)</f>
        <v>0</v>
      </c>
      <c r="H130" s="22" t="e">
        <f t="shared" si="8"/>
        <v>#REF!</v>
      </c>
    </row>
    <row r="131" spans="1:8">
      <c r="A131">
        <v>123</v>
      </c>
      <c r="B131" s="21" t="e">
        <f>#REF!</f>
        <v>#REF!</v>
      </c>
      <c r="C131" s="20" t="e">
        <f>#REF!</f>
        <v>#REF!</v>
      </c>
      <c r="D131" s="1" t="e">
        <f>#REF!</f>
        <v>#REF!</v>
      </c>
      <c r="E131" s="1" t="s">
        <v>63</v>
      </c>
      <c r="F131" s="1" t="e">
        <f>#REF!</f>
        <v>#REF!</v>
      </c>
      <c r="G131" s="22">
        <f>IFERROR(VLOOKUP(D131,'データ（触らない）'!$R$44:$S$60,2,FALSE),0)</f>
        <v>0</v>
      </c>
      <c r="H131" s="22" t="e">
        <f t="shared" si="8"/>
        <v>#REF!</v>
      </c>
    </row>
    <row r="132" spans="1:8">
      <c r="A132" s="23">
        <v>124</v>
      </c>
      <c r="B132" s="24" t="e">
        <f>#REF!</f>
        <v>#REF!</v>
      </c>
      <c r="C132" s="25" t="e">
        <f>#REF!</f>
        <v>#REF!</v>
      </c>
      <c r="D132" s="26" t="e">
        <f>#REF!</f>
        <v>#REF!</v>
      </c>
      <c r="E132" s="26" t="e">
        <f>#REF!</f>
        <v>#REF!</v>
      </c>
      <c r="F132" s="26" t="e">
        <f>IF(E132=0,0,1)</f>
        <v>#REF!</v>
      </c>
      <c r="G132" s="27" t="e">
        <f>IF(#REF!="〇",#REF!,#REF!)</f>
        <v>#REF!</v>
      </c>
      <c r="H132" s="27" t="e">
        <f>F132*G132</f>
        <v>#REF!</v>
      </c>
    </row>
    <row r="133" spans="1:8">
      <c r="A133" s="23">
        <v>125</v>
      </c>
      <c r="B133" s="24" t="e">
        <f>#REF!</f>
        <v>#REF!</v>
      </c>
      <c r="C133" s="25" t="e">
        <f>#REF!</f>
        <v>#REF!</v>
      </c>
      <c r="D133" s="26" t="e">
        <f>#REF!</f>
        <v>#REF!</v>
      </c>
      <c r="E133" s="26" t="e">
        <f>#REF!</f>
        <v>#REF!</v>
      </c>
      <c r="F133" s="26" t="e">
        <f t="shared" ref="F133:F136" si="10">IF(E133=0,0,1)</f>
        <v>#REF!</v>
      </c>
      <c r="G133" s="27" t="e">
        <f>IF(#REF!="〇",#REF!,#REF!)</f>
        <v>#REF!</v>
      </c>
      <c r="H133" s="27" t="e">
        <f t="shared" ref="H133:H172" si="11">F133*G133</f>
        <v>#REF!</v>
      </c>
    </row>
    <row r="134" spans="1:8">
      <c r="A134" s="23">
        <v>126</v>
      </c>
      <c r="B134" s="24" t="e">
        <f>#REF!</f>
        <v>#REF!</v>
      </c>
      <c r="C134" s="25" t="e">
        <f>#REF!</f>
        <v>#REF!</v>
      </c>
      <c r="D134" s="26" t="e">
        <f>#REF!</f>
        <v>#REF!</v>
      </c>
      <c r="E134" s="26" t="e">
        <f>#REF!</f>
        <v>#REF!</v>
      </c>
      <c r="F134" s="26" t="e">
        <f t="shared" si="10"/>
        <v>#REF!</v>
      </c>
      <c r="G134" s="27" t="e">
        <f>IF(#REF!="〇",#REF!,#REF!)</f>
        <v>#REF!</v>
      </c>
      <c r="H134" s="27" t="e">
        <f t="shared" si="11"/>
        <v>#REF!</v>
      </c>
    </row>
    <row r="135" spans="1:8">
      <c r="A135" s="23">
        <v>127</v>
      </c>
      <c r="B135" s="24" t="e">
        <f>#REF!</f>
        <v>#REF!</v>
      </c>
      <c r="C135" s="25" t="e">
        <f>#REF!</f>
        <v>#REF!</v>
      </c>
      <c r="D135" s="26" t="e">
        <f>#REF!</f>
        <v>#REF!</v>
      </c>
      <c r="E135" s="26" t="e">
        <f>#REF!</f>
        <v>#REF!</v>
      </c>
      <c r="F135" s="26" t="e">
        <f t="shared" si="10"/>
        <v>#REF!</v>
      </c>
      <c r="G135" s="27" t="e">
        <f>IF(#REF!="〇",#REF!,#REF!)</f>
        <v>#REF!</v>
      </c>
      <c r="H135" s="27" t="e">
        <f t="shared" si="11"/>
        <v>#REF!</v>
      </c>
    </row>
    <row r="136" spans="1:8">
      <c r="A136" s="23">
        <v>128</v>
      </c>
      <c r="B136" s="24" t="e">
        <f>#REF!</f>
        <v>#REF!</v>
      </c>
      <c r="C136" s="25" t="e">
        <f>#REF!</f>
        <v>#REF!</v>
      </c>
      <c r="D136" s="26" t="e">
        <f>#REF!</f>
        <v>#REF!</v>
      </c>
      <c r="E136" s="26" t="e">
        <f>#REF!&amp;"～"&amp;#REF!</f>
        <v>#REF!</v>
      </c>
      <c r="F136" s="26" t="e">
        <f t="shared" si="10"/>
        <v>#REF!</v>
      </c>
      <c r="G136" s="27" t="e">
        <f>IF(#REF!="〇",#REF!,#REF!)</f>
        <v>#REF!</v>
      </c>
      <c r="H136" s="27" t="e">
        <f t="shared" si="11"/>
        <v>#REF!</v>
      </c>
    </row>
    <row r="137" spans="1:8">
      <c r="A137" s="23">
        <v>129</v>
      </c>
      <c r="B137" s="24" t="e">
        <f>#REF!</f>
        <v>#REF!</v>
      </c>
      <c r="C137" s="25" t="e">
        <f>#REF!</f>
        <v>#REF!</v>
      </c>
      <c r="D137" s="26" t="e">
        <f>#REF!</f>
        <v>#REF!</v>
      </c>
      <c r="E137" s="26" t="s">
        <v>63</v>
      </c>
      <c r="F137" s="26" t="e">
        <f>#REF!</f>
        <v>#REF!</v>
      </c>
      <c r="G137" s="27">
        <f>IFERROR(VLOOKUP(D137,'データ（触らない）'!$R$3:$S$17,2,FALSE),0)</f>
        <v>0</v>
      </c>
      <c r="H137" s="27" t="e">
        <f t="shared" si="11"/>
        <v>#REF!</v>
      </c>
    </row>
    <row r="138" spans="1:8">
      <c r="A138" s="23">
        <v>130</v>
      </c>
      <c r="B138" s="24" t="e">
        <f>#REF!</f>
        <v>#REF!</v>
      </c>
      <c r="C138" s="25" t="e">
        <f>#REF!</f>
        <v>#REF!</v>
      </c>
      <c r="D138" s="26" t="e">
        <f>#REF!</f>
        <v>#REF!</v>
      </c>
      <c r="E138" s="26" t="s">
        <v>63</v>
      </c>
      <c r="F138" s="26" t="e">
        <f>#REF!</f>
        <v>#REF!</v>
      </c>
      <c r="G138" s="27">
        <f>IFERROR(VLOOKUP(D138,'データ（触らない）'!$R$3:$S$17,2,FALSE),0)</f>
        <v>0</v>
      </c>
      <c r="H138" s="27" t="e">
        <f t="shared" si="11"/>
        <v>#REF!</v>
      </c>
    </row>
    <row r="139" spans="1:8">
      <c r="A139" s="23">
        <v>131</v>
      </c>
      <c r="B139" s="24" t="e">
        <f>#REF!</f>
        <v>#REF!</v>
      </c>
      <c r="C139" s="25" t="e">
        <f>#REF!</f>
        <v>#REF!</v>
      </c>
      <c r="D139" s="26" t="e">
        <f>#REF!</f>
        <v>#REF!</v>
      </c>
      <c r="E139" s="26" t="s">
        <v>63</v>
      </c>
      <c r="F139" s="26" t="e">
        <f>#REF!</f>
        <v>#REF!</v>
      </c>
      <c r="G139" s="27">
        <f>IFERROR(VLOOKUP(D139,'データ（触らない）'!$R$3:$S$17,2,FALSE),0)</f>
        <v>0</v>
      </c>
      <c r="H139" s="27" t="e">
        <f t="shared" si="11"/>
        <v>#REF!</v>
      </c>
    </row>
    <row r="140" spans="1:8">
      <c r="A140" s="23">
        <v>132</v>
      </c>
      <c r="B140" s="24" t="e">
        <f>#REF!</f>
        <v>#REF!</v>
      </c>
      <c r="C140" s="25" t="e">
        <f>#REF!</f>
        <v>#REF!</v>
      </c>
      <c r="D140" s="26" t="e">
        <f>#REF!</f>
        <v>#REF!</v>
      </c>
      <c r="E140" s="26" t="s">
        <v>63</v>
      </c>
      <c r="F140" s="26" t="e">
        <f>#REF!</f>
        <v>#REF!</v>
      </c>
      <c r="G140" s="27">
        <f>IFERROR(VLOOKUP(D140,'データ（触らない）'!$R$3:$S$17,2,FALSE),0)</f>
        <v>0</v>
      </c>
      <c r="H140" s="27" t="e">
        <f t="shared" si="11"/>
        <v>#REF!</v>
      </c>
    </row>
    <row r="141" spans="1:8">
      <c r="A141" s="23">
        <v>133</v>
      </c>
      <c r="B141" s="24" t="e">
        <f>#REF!</f>
        <v>#REF!</v>
      </c>
      <c r="C141" s="25" t="e">
        <f>#REF!</f>
        <v>#REF!</v>
      </c>
      <c r="D141" s="26" t="e">
        <f>#REF!</f>
        <v>#REF!</v>
      </c>
      <c r="E141" s="26" t="s">
        <v>63</v>
      </c>
      <c r="F141" s="26" t="e">
        <f>#REF!</f>
        <v>#REF!</v>
      </c>
      <c r="G141" s="27">
        <f>IFERROR(VLOOKUP(D141,'データ（触らない）'!$R$3:$S$17,2,FALSE),0)</f>
        <v>0</v>
      </c>
      <c r="H141" s="27" t="e">
        <f t="shared" si="11"/>
        <v>#REF!</v>
      </c>
    </row>
    <row r="142" spans="1:8">
      <c r="A142" s="23">
        <v>134</v>
      </c>
      <c r="B142" s="24" t="e">
        <f>#REF!</f>
        <v>#REF!</v>
      </c>
      <c r="C142" s="25" t="e">
        <f>#REF!</f>
        <v>#REF!</v>
      </c>
      <c r="D142" s="26" t="e">
        <f>#REF!</f>
        <v>#REF!</v>
      </c>
      <c r="E142" s="26" t="s">
        <v>63</v>
      </c>
      <c r="F142" s="26" t="e">
        <f>#REF!</f>
        <v>#REF!</v>
      </c>
      <c r="G142" s="27">
        <f>IFERROR(VLOOKUP(D142,'データ（触らない）'!$R$3:$S$17,2,FALSE),0)</f>
        <v>0</v>
      </c>
      <c r="H142" s="27" t="e">
        <f t="shared" si="11"/>
        <v>#REF!</v>
      </c>
    </row>
    <row r="143" spans="1:8">
      <c r="A143" s="23">
        <v>135</v>
      </c>
      <c r="B143" s="24" t="e">
        <f>#REF!</f>
        <v>#REF!</v>
      </c>
      <c r="C143" s="25" t="e">
        <f>#REF!</f>
        <v>#REF!</v>
      </c>
      <c r="D143" s="26" t="e">
        <f>#REF!</f>
        <v>#REF!</v>
      </c>
      <c r="E143" s="26" t="s">
        <v>63</v>
      </c>
      <c r="F143" s="26" t="e">
        <f>#REF!</f>
        <v>#REF!</v>
      </c>
      <c r="G143" s="27">
        <f>IFERROR(VLOOKUP(D143,'データ（触らない）'!$R$3:$S$17,2,FALSE),0)</f>
        <v>0</v>
      </c>
      <c r="H143" s="27" t="e">
        <f t="shared" si="11"/>
        <v>#REF!</v>
      </c>
    </row>
    <row r="144" spans="1:8">
      <c r="A144" s="23">
        <v>136</v>
      </c>
      <c r="B144" s="24" t="e">
        <f>#REF!</f>
        <v>#REF!</v>
      </c>
      <c r="C144" s="25" t="e">
        <f>#REF!</f>
        <v>#REF!</v>
      </c>
      <c r="D144" s="26" t="e">
        <f>#REF!</f>
        <v>#REF!</v>
      </c>
      <c r="E144" s="26" t="s">
        <v>63</v>
      </c>
      <c r="F144" s="26" t="e">
        <f>#REF!</f>
        <v>#REF!</v>
      </c>
      <c r="G144" s="27">
        <f>IFERROR(VLOOKUP(D144,'データ（触らない）'!$R$3:$S$17,2,FALSE),0)</f>
        <v>0</v>
      </c>
      <c r="H144" s="27" t="e">
        <f t="shared" si="11"/>
        <v>#REF!</v>
      </c>
    </row>
    <row r="145" spans="1:8">
      <c r="A145" s="23">
        <v>137</v>
      </c>
      <c r="B145" s="24" t="e">
        <f>#REF!</f>
        <v>#REF!</v>
      </c>
      <c r="C145" s="25" t="e">
        <f>#REF!</f>
        <v>#REF!</v>
      </c>
      <c r="D145" s="26" t="e">
        <f>#REF!</f>
        <v>#REF!</v>
      </c>
      <c r="E145" s="26" t="s">
        <v>63</v>
      </c>
      <c r="F145" s="26" t="e">
        <f>#REF!</f>
        <v>#REF!</v>
      </c>
      <c r="G145" s="27">
        <f>IFERROR(VLOOKUP(D145,'データ（触らない）'!$R$3:$S$17,2,FALSE),0)</f>
        <v>0</v>
      </c>
      <c r="H145" s="27" t="e">
        <f t="shared" si="11"/>
        <v>#REF!</v>
      </c>
    </row>
    <row r="146" spans="1:8">
      <c r="A146" s="23">
        <v>138</v>
      </c>
      <c r="B146" s="24" t="e">
        <f>#REF!</f>
        <v>#REF!</v>
      </c>
      <c r="C146" s="25" t="e">
        <f>#REF!</f>
        <v>#REF!</v>
      </c>
      <c r="D146" s="26" t="e">
        <f>#REF!</f>
        <v>#REF!</v>
      </c>
      <c r="E146" s="26" t="s">
        <v>63</v>
      </c>
      <c r="F146" s="26" t="e">
        <f>#REF!</f>
        <v>#REF!</v>
      </c>
      <c r="G146" s="27">
        <f>IFERROR(VLOOKUP(D146,'データ（触らない）'!$R$3:$S$17,2,FALSE),0)</f>
        <v>0</v>
      </c>
      <c r="H146" s="27" t="e">
        <f t="shared" si="11"/>
        <v>#REF!</v>
      </c>
    </row>
    <row r="147" spans="1:8">
      <c r="A147" s="23">
        <v>139</v>
      </c>
      <c r="B147" s="24" t="e">
        <f>#REF!</f>
        <v>#REF!</v>
      </c>
      <c r="C147" s="25" t="e">
        <f>#REF!</f>
        <v>#REF!</v>
      </c>
      <c r="D147" s="26" t="e">
        <f>#REF!</f>
        <v>#REF!</v>
      </c>
      <c r="E147" s="26" t="e">
        <f>#REF!</f>
        <v>#REF!</v>
      </c>
      <c r="F147" s="26" t="e">
        <f>IF(E147=0,0,1)</f>
        <v>#REF!</v>
      </c>
      <c r="G147" s="27" t="e">
        <f>IF(#REF!="〇",#REF!,#REF!)</f>
        <v>#REF!</v>
      </c>
      <c r="H147" s="27" t="e">
        <f t="shared" si="11"/>
        <v>#REF!</v>
      </c>
    </row>
    <row r="148" spans="1:8">
      <c r="A148" s="23">
        <v>140</v>
      </c>
      <c r="B148" s="24" t="e">
        <f>#REF!</f>
        <v>#REF!</v>
      </c>
      <c r="C148" s="25" t="e">
        <f>#REF!</f>
        <v>#REF!</v>
      </c>
      <c r="D148" s="26" t="e">
        <f>#REF!</f>
        <v>#REF!</v>
      </c>
      <c r="E148" s="26" t="s">
        <v>63</v>
      </c>
      <c r="F148" s="26" t="e">
        <f>#REF!</f>
        <v>#REF!</v>
      </c>
      <c r="G148" s="27">
        <f>IFERROR(VLOOKUP(D148,'データ（触らない）'!$R$21:$S$29,2,FALSE),0)</f>
        <v>0</v>
      </c>
      <c r="H148" s="27" t="e">
        <f t="shared" si="11"/>
        <v>#REF!</v>
      </c>
    </row>
    <row r="149" spans="1:8">
      <c r="A149" s="23">
        <v>141</v>
      </c>
      <c r="B149" s="24" t="e">
        <f>#REF!</f>
        <v>#REF!</v>
      </c>
      <c r="C149" s="25" t="e">
        <f>#REF!</f>
        <v>#REF!</v>
      </c>
      <c r="D149" s="26" t="e">
        <f>#REF!</f>
        <v>#REF!</v>
      </c>
      <c r="E149" s="26" t="s">
        <v>63</v>
      </c>
      <c r="F149" s="26" t="e">
        <f>#REF!</f>
        <v>#REF!</v>
      </c>
      <c r="G149" s="27">
        <f>IFERROR(VLOOKUP(D149,'データ（触らない）'!$R$21:$S$29,2,FALSE),0)</f>
        <v>0</v>
      </c>
      <c r="H149" s="27" t="e">
        <f t="shared" si="11"/>
        <v>#REF!</v>
      </c>
    </row>
    <row r="150" spans="1:8">
      <c r="A150" s="23">
        <v>142</v>
      </c>
      <c r="B150" s="24" t="e">
        <f>#REF!</f>
        <v>#REF!</v>
      </c>
      <c r="C150" s="25" t="e">
        <f>#REF!</f>
        <v>#REF!</v>
      </c>
      <c r="D150" s="26" t="e">
        <f>#REF!</f>
        <v>#REF!</v>
      </c>
      <c r="E150" s="26" t="s">
        <v>63</v>
      </c>
      <c r="F150" s="26" t="e">
        <f>#REF!</f>
        <v>#REF!</v>
      </c>
      <c r="G150" s="27">
        <f>IFERROR(VLOOKUP(D150,'データ（触らない）'!$R$21:$S$29,2,FALSE),0)</f>
        <v>0</v>
      </c>
      <c r="H150" s="27" t="e">
        <f t="shared" si="11"/>
        <v>#REF!</v>
      </c>
    </row>
    <row r="151" spans="1:8">
      <c r="A151" s="23">
        <v>143</v>
      </c>
      <c r="B151" s="24" t="e">
        <f>#REF!</f>
        <v>#REF!</v>
      </c>
      <c r="C151" s="25" t="e">
        <f>#REF!</f>
        <v>#REF!</v>
      </c>
      <c r="D151" s="26" t="e">
        <f>#REF!</f>
        <v>#REF!</v>
      </c>
      <c r="E151" s="26" t="s">
        <v>63</v>
      </c>
      <c r="F151" s="26" t="e">
        <f>#REF!</f>
        <v>#REF!</v>
      </c>
      <c r="G151" s="27">
        <f>IFERROR(VLOOKUP(D151,'データ（触らない）'!$R$21:$S$29,2,FALSE),0)</f>
        <v>0</v>
      </c>
      <c r="H151" s="27" t="e">
        <f t="shared" si="11"/>
        <v>#REF!</v>
      </c>
    </row>
    <row r="152" spans="1:8">
      <c r="A152" s="23">
        <v>144</v>
      </c>
      <c r="B152" s="24" t="e">
        <f>#REF!</f>
        <v>#REF!</v>
      </c>
      <c r="C152" s="25" t="e">
        <f>#REF!</f>
        <v>#REF!</v>
      </c>
      <c r="D152" s="26" t="e">
        <f>#REF!</f>
        <v>#REF!</v>
      </c>
      <c r="E152" s="26" t="s">
        <v>63</v>
      </c>
      <c r="F152" s="26" t="e">
        <f>#REF!</f>
        <v>#REF!</v>
      </c>
      <c r="G152" s="27">
        <f>IFERROR(VLOOKUP(D152,'データ（触らない）'!$R$21:$S$29,2,FALSE),0)</f>
        <v>0</v>
      </c>
      <c r="H152" s="27" t="e">
        <f t="shared" si="11"/>
        <v>#REF!</v>
      </c>
    </row>
    <row r="153" spans="1:8">
      <c r="A153" s="23">
        <v>145</v>
      </c>
      <c r="B153" s="24" t="e">
        <f>#REF!</f>
        <v>#REF!</v>
      </c>
      <c r="C153" s="25" t="e">
        <f>#REF!</f>
        <v>#REF!</v>
      </c>
      <c r="D153" s="26" t="e">
        <f>#REF!</f>
        <v>#REF!</v>
      </c>
      <c r="E153" s="26" t="s">
        <v>63</v>
      </c>
      <c r="F153" s="26" t="e">
        <f>#REF!</f>
        <v>#REF!</v>
      </c>
      <c r="G153" s="27">
        <f>IFERROR(VLOOKUP(D153,'データ（触らない）'!$R$21:$S$29,2,FALSE),0)</f>
        <v>0</v>
      </c>
      <c r="H153" s="27" t="e">
        <f t="shared" si="11"/>
        <v>#REF!</v>
      </c>
    </row>
    <row r="154" spans="1:8">
      <c r="A154" s="23">
        <v>146</v>
      </c>
      <c r="B154" s="24" t="e">
        <f>#REF!</f>
        <v>#REF!</v>
      </c>
      <c r="C154" s="25" t="e">
        <f>#REF!</f>
        <v>#REF!</v>
      </c>
      <c r="D154" s="26" t="e">
        <f>#REF!</f>
        <v>#REF!</v>
      </c>
      <c r="E154" s="26" t="e">
        <f>#REF!</f>
        <v>#REF!</v>
      </c>
      <c r="F154" s="26" t="e">
        <f t="shared" ref="F154" si="12">IF(E154=0,0,1)</f>
        <v>#REF!</v>
      </c>
      <c r="G154" s="27" t="e">
        <f>IF(#REF!="〇",#REF!,#REF!)</f>
        <v>#REF!</v>
      </c>
      <c r="H154" s="27" t="e">
        <f t="shared" si="11"/>
        <v>#REF!</v>
      </c>
    </row>
    <row r="155" spans="1:8">
      <c r="A155" s="23">
        <v>147</v>
      </c>
      <c r="B155" s="24" t="e">
        <f>#REF!</f>
        <v>#REF!</v>
      </c>
      <c r="C155" s="25" t="e">
        <f>#REF!</f>
        <v>#REF!</v>
      </c>
      <c r="D155" s="26" t="e">
        <f>#REF!</f>
        <v>#REF!</v>
      </c>
      <c r="E155" s="26" t="s">
        <v>63</v>
      </c>
      <c r="F155" s="26" t="e">
        <f>#REF!</f>
        <v>#REF!</v>
      </c>
      <c r="G155" s="27">
        <f>IFERROR(VLOOKUP(D155,'データ（触らない）'!$R$33:$S$40,2,FALSE),0)</f>
        <v>0</v>
      </c>
      <c r="H155" s="27" t="e">
        <f t="shared" si="11"/>
        <v>#REF!</v>
      </c>
    </row>
    <row r="156" spans="1:8">
      <c r="A156" s="23">
        <v>148</v>
      </c>
      <c r="B156" s="24" t="e">
        <f>#REF!</f>
        <v>#REF!</v>
      </c>
      <c r="C156" s="25" t="e">
        <f>#REF!</f>
        <v>#REF!</v>
      </c>
      <c r="D156" s="26" t="e">
        <f>#REF!</f>
        <v>#REF!</v>
      </c>
      <c r="E156" s="26" t="s">
        <v>63</v>
      </c>
      <c r="F156" s="26" t="e">
        <f>#REF!</f>
        <v>#REF!</v>
      </c>
      <c r="G156" s="27">
        <f>IFERROR(VLOOKUP(D156,'データ（触らない）'!$R$33:$S$40,2,FALSE),0)</f>
        <v>0</v>
      </c>
      <c r="H156" s="27" t="e">
        <f t="shared" si="11"/>
        <v>#REF!</v>
      </c>
    </row>
    <row r="157" spans="1:8">
      <c r="A157" s="23">
        <v>149</v>
      </c>
      <c r="B157" s="24" t="e">
        <f>#REF!</f>
        <v>#REF!</v>
      </c>
      <c r="C157" s="25" t="e">
        <f>#REF!</f>
        <v>#REF!</v>
      </c>
      <c r="D157" s="26" t="e">
        <f>#REF!</f>
        <v>#REF!</v>
      </c>
      <c r="E157" s="26" t="s">
        <v>63</v>
      </c>
      <c r="F157" s="26" t="e">
        <f>#REF!</f>
        <v>#REF!</v>
      </c>
      <c r="G157" s="27">
        <f>IFERROR(VLOOKUP(D157,'データ（触らない）'!$R$33:$S$40,2,FALSE),0)</f>
        <v>0</v>
      </c>
      <c r="H157" s="27" t="e">
        <f t="shared" si="11"/>
        <v>#REF!</v>
      </c>
    </row>
    <row r="158" spans="1:8">
      <c r="A158" s="23">
        <v>150</v>
      </c>
      <c r="B158" s="24" t="e">
        <f>#REF!</f>
        <v>#REF!</v>
      </c>
      <c r="C158" s="25" t="e">
        <f>#REF!</f>
        <v>#REF!</v>
      </c>
      <c r="D158" s="26" t="e">
        <f>#REF!</f>
        <v>#REF!</v>
      </c>
      <c r="E158" s="26" t="s">
        <v>63</v>
      </c>
      <c r="F158" s="26" t="e">
        <f>#REF!</f>
        <v>#REF!</v>
      </c>
      <c r="G158" s="27">
        <f>IFERROR(VLOOKUP(D158,'データ（触らない）'!$R$33:$S$40,2,FALSE),0)</f>
        <v>0</v>
      </c>
      <c r="H158" s="27" t="e">
        <f t="shared" si="11"/>
        <v>#REF!</v>
      </c>
    </row>
    <row r="159" spans="1:8">
      <c r="A159" s="23">
        <v>151</v>
      </c>
      <c r="B159" s="24" t="e">
        <f>#REF!</f>
        <v>#REF!</v>
      </c>
      <c r="C159" s="25" t="e">
        <f>#REF!</f>
        <v>#REF!</v>
      </c>
      <c r="D159" s="26" t="e">
        <f>#REF!</f>
        <v>#REF!</v>
      </c>
      <c r="E159" s="26" t="s">
        <v>63</v>
      </c>
      <c r="F159" s="26" t="e">
        <f>#REF!</f>
        <v>#REF!</v>
      </c>
      <c r="G159" s="27">
        <f>IFERROR(VLOOKUP(D159,'データ（触らない）'!$R$33:$S$40,2,FALSE),0)</f>
        <v>0</v>
      </c>
      <c r="H159" s="27" t="e">
        <f t="shared" si="11"/>
        <v>#REF!</v>
      </c>
    </row>
    <row r="160" spans="1:8">
      <c r="A160" s="23">
        <v>152</v>
      </c>
      <c r="B160" s="24" t="e">
        <f>#REF!</f>
        <v>#REF!</v>
      </c>
      <c r="C160" s="25" t="e">
        <f>#REF!</f>
        <v>#REF!</v>
      </c>
      <c r="D160" s="26" t="e">
        <f>#REF!</f>
        <v>#REF!</v>
      </c>
      <c r="E160" s="26" t="s">
        <v>63</v>
      </c>
      <c r="F160" s="26" t="e">
        <f>#REF!</f>
        <v>#REF!</v>
      </c>
      <c r="G160" s="27">
        <f>IFERROR(VLOOKUP(D160,'データ（触らない）'!$R$44:$S$60,2,FALSE),0)</f>
        <v>0</v>
      </c>
      <c r="H160" s="27" t="e">
        <f t="shared" si="11"/>
        <v>#REF!</v>
      </c>
    </row>
    <row r="161" spans="1:8">
      <c r="A161" s="23">
        <v>153</v>
      </c>
      <c r="B161" s="24" t="e">
        <f>#REF!</f>
        <v>#REF!</v>
      </c>
      <c r="C161" s="25" t="e">
        <f>#REF!</f>
        <v>#REF!</v>
      </c>
      <c r="D161" s="26" t="e">
        <f>#REF!</f>
        <v>#REF!</v>
      </c>
      <c r="E161" s="26" t="s">
        <v>63</v>
      </c>
      <c r="F161" s="26" t="e">
        <f>#REF!</f>
        <v>#REF!</v>
      </c>
      <c r="G161" s="27">
        <f>IFERROR(VLOOKUP(D161,'データ（触らない）'!$R$44:$S$60,2,FALSE),0)</f>
        <v>0</v>
      </c>
      <c r="H161" s="27" t="e">
        <f t="shared" si="11"/>
        <v>#REF!</v>
      </c>
    </row>
    <row r="162" spans="1:8">
      <c r="A162" s="23">
        <v>154</v>
      </c>
      <c r="B162" s="24" t="e">
        <f>#REF!</f>
        <v>#REF!</v>
      </c>
      <c r="C162" s="25" t="e">
        <f>#REF!</f>
        <v>#REF!</v>
      </c>
      <c r="D162" s="26" t="e">
        <f>#REF!</f>
        <v>#REF!</v>
      </c>
      <c r="E162" s="26" t="s">
        <v>63</v>
      </c>
      <c r="F162" s="26" t="e">
        <f>#REF!</f>
        <v>#REF!</v>
      </c>
      <c r="G162" s="27">
        <f>IFERROR(VLOOKUP(D162,'データ（触らない）'!$R$44:$S$60,2,FALSE),0)</f>
        <v>0</v>
      </c>
      <c r="H162" s="27" t="e">
        <f t="shared" si="11"/>
        <v>#REF!</v>
      </c>
    </row>
    <row r="163" spans="1:8">
      <c r="A163" s="23">
        <v>155</v>
      </c>
      <c r="B163" s="24" t="e">
        <f>#REF!</f>
        <v>#REF!</v>
      </c>
      <c r="C163" s="25" t="e">
        <f>#REF!</f>
        <v>#REF!</v>
      </c>
      <c r="D163" s="26" t="e">
        <f>#REF!</f>
        <v>#REF!</v>
      </c>
      <c r="E163" s="26" t="s">
        <v>63</v>
      </c>
      <c r="F163" s="26" t="e">
        <f>#REF!</f>
        <v>#REF!</v>
      </c>
      <c r="G163" s="27">
        <f>IFERROR(VLOOKUP(D163,'データ（触らない）'!$R$44:$S$60,2,FALSE),0)</f>
        <v>0</v>
      </c>
      <c r="H163" s="27" t="e">
        <f t="shared" si="11"/>
        <v>#REF!</v>
      </c>
    </row>
    <row r="164" spans="1:8">
      <c r="A164" s="23">
        <v>156</v>
      </c>
      <c r="B164" s="24" t="e">
        <f>#REF!</f>
        <v>#REF!</v>
      </c>
      <c r="C164" s="25" t="e">
        <f>#REF!</f>
        <v>#REF!</v>
      </c>
      <c r="D164" s="26" t="e">
        <f>#REF!</f>
        <v>#REF!</v>
      </c>
      <c r="E164" s="26" t="s">
        <v>63</v>
      </c>
      <c r="F164" s="26" t="e">
        <f>#REF!</f>
        <v>#REF!</v>
      </c>
      <c r="G164" s="27">
        <f>IFERROR(VLOOKUP(D164,'データ（触らない）'!$R$44:$S$60,2,FALSE),0)</f>
        <v>0</v>
      </c>
      <c r="H164" s="27" t="e">
        <f t="shared" si="11"/>
        <v>#REF!</v>
      </c>
    </row>
    <row r="165" spans="1:8">
      <c r="A165" s="23">
        <v>157</v>
      </c>
      <c r="B165" s="24" t="e">
        <f>#REF!</f>
        <v>#REF!</v>
      </c>
      <c r="C165" s="25" t="e">
        <f>#REF!</f>
        <v>#REF!</v>
      </c>
      <c r="D165" s="26" t="e">
        <f>#REF!</f>
        <v>#REF!</v>
      </c>
      <c r="E165" s="26" t="s">
        <v>63</v>
      </c>
      <c r="F165" s="26" t="e">
        <f>#REF!</f>
        <v>#REF!</v>
      </c>
      <c r="G165" s="27">
        <f>IFERROR(VLOOKUP(D165,'データ（触らない）'!$R$44:$S$60,2,FALSE),0)</f>
        <v>0</v>
      </c>
      <c r="H165" s="27" t="e">
        <f t="shared" si="11"/>
        <v>#REF!</v>
      </c>
    </row>
    <row r="166" spans="1:8">
      <c r="A166" s="23">
        <v>158</v>
      </c>
      <c r="B166" s="24" t="e">
        <f>#REF!</f>
        <v>#REF!</v>
      </c>
      <c r="C166" s="25" t="e">
        <f>#REF!</f>
        <v>#REF!</v>
      </c>
      <c r="D166" s="26" t="e">
        <f>#REF!</f>
        <v>#REF!</v>
      </c>
      <c r="E166" s="26" t="s">
        <v>63</v>
      </c>
      <c r="F166" s="26" t="e">
        <f>#REF!</f>
        <v>#REF!</v>
      </c>
      <c r="G166" s="27">
        <f>IFERROR(VLOOKUP(D166,'データ（触らない）'!$R$44:$S$60,2,FALSE),0)</f>
        <v>0</v>
      </c>
      <c r="H166" s="27" t="e">
        <f t="shared" si="11"/>
        <v>#REF!</v>
      </c>
    </row>
    <row r="167" spans="1:8">
      <c r="A167" s="23">
        <v>159</v>
      </c>
      <c r="B167" s="24" t="e">
        <f>#REF!</f>
        <v>#REF!</v>
      </c>
      <c r="C167" s="25" t="e">
        <f>#REF!</f>
        <v>#REF!</v>
      </c>
      <c r="D167" s="26" t="e">
        <f>#REF!</f>
        <v>#REF!</v>
      </c>
      <c r="E167" s="26" t="s">
        <v>63</v>
      </c>
      <c r="F167" s="26" t="e">
        <f>#REF!</f>
        <v>#REF!</v>
      </c>
      <c r="G167" s="27">
        <f>IFERROR(VLOOKUP(D167,'データ（触らない）'!$R$44:$S$60,2,FALSE),0)</f>
        <v>0</v>
      </c>
      <c r="H167" s="27" t="e">
        <f t="shared" si="11"/>
        <v>#REF!</v>
      </c>
    </row>
    <row r="168" spans="1:8">
      <c r="A168" s="23">
        <v>160</v>
      </c>
      <c r="B168" s="24" t="e">
        <f>#REF!</f>
        <v>#REF!</v>
      </c>
      <c r="C168" s="25" t="e">
        <f>#REF!</f>
        <v>#REF!</v>
      </c>
      <c r="D168" s="26" t="e">
        <f>#REF!</f>
        <v>#REF!</v>
      </c>
      <c r="E168" s="26" t="s">
        <v>63</v>
      </c>
      <c r="F168" s="26" t="e">
        <f>#REF!</f>
        <v>#REF!</v>
      </c>
      <c r="G168" s="27">
        <f>IFERROR(VLOOKUP(D168,'データ（触らない）'!$R$44:$S$60,2,FALSE),0)</f>
        <v>0</v>
      </c>
      <c r="H168" s="27" t="e">
        <f t="shared" si="11"/>
        <v>#REF!</v>
      </c>
    </row>
    <row r="169" spans="1:8">
      <c r="A169" s="23">
        <v>161</v>
      </c>
      <c r="B169" s="24" t="e">
        <f>#REF!</f>
        <v>#REF!</v>
      </c>
      <c r="C169" s="25" t="e">
        <f>#REF!</f>
        <v>#REF!</v>
      </c>
      <c r="D169" s="26" t="e">
        <f>#REF!</f>
        <v>#REF!</v>
      </c>
      <c r="E169" s="26" t="s">
        <v>63</v>
      </c>
      <c r="F169" s="26" t="e">
        <f>#REF!</f>
        <v>#REF!</v>
      </c>
      <c r="G169" s="27">
        <f>IFERROR(VLOOKUP(D169,'データ（触らない）'!$R$44:$S$60,2,FALSE),0)</f>
        <v>0</v>
      </c>
      <c r="H169" s="27" t="e">
        <f t="shared" si="11"/>
        <v>#REF!</v>
      </c>
    </row>
    <row r="170" spans="1:8">
      <c r="A170" s="23">
        <v>162</v>
      </c>
      <c r="B170" s="24" t="e">
        <f>#REF!</f>
        <v>#REF!</v>
      </c>
      <c r="C170" s="25" t="e">
        <f>#REF!</f>
        <v>#REF!</v>
      </c>
      <c r="D170" s="26" t="e">
        <f>#REF!</f>
        <v>#REF!</v>
      </c>
      <c r="E170" s="26" t="s">
        <v>63</v>
      </c>
      <c r="F170" s="26" t="e">
        <f>#REF!</f>
        <v>#REF!</v>
      </c>
      <c r="G170" s="27">
        <f>IFERROR(VLOOKUP(D170,'データ（触らない）'!$R$44:$S$60,2,FALSE),0)</f>
        <v>0</v>
      </c>
      <c r="H170" s="27" t="e">
        <f t="shared" si="11"/>
        <v>#REF!</v>
      </c>
    </row>
    <row r="171" spans="1:8">
      <c r="A171" s="23">
        <v>163</v>
      </c>
      <c r="B171" s="24" t="e">
        <f>#REF!</f>
        <v>#REF!</v>
      </c>
      <c r="C171" s="25" t="e">
        <f>#REF!</f>
        <v>#REF!</v>
      </c>
      <c r="D171" s="26" t="e">
        <f>#REF!</f>
        <v>#REF!</v>
      </c>
      <c r="E171" s="26" t="s">
        <v>63</v>
      </c>
      <c r="F171" s="26" t="e">
        <f>#REF!</f>
        <v>#REF!</v>
      </c>
      <c r="G171" s="27">
        <f>IFERROR(VLOOKUP(D171,'データ（触らない）'!$R$44:$S$60,2,FALSE),0)</f>
        <v>0</v>
      </c>
      <c r="H171" s="27" t="e">
        <f t="shared" si="11"/>
        <v>#REF!</v>
      </c>
    </row>
    <row r="172" spans="1:8">
      <c r="A172" s="23">
        <v>164</v>
      </c>
      <c r="B172" s="24" t="e">
        <f>#REF!</f>
        <v>#REF!</v>
      </c>
      <c r="C172" s="25" t="e">
        <f>#REF!</f>
        <v>#REF!</v>
      </c>
      <c r="D172" s="26" t="e">
        <f>#REF!</f>
        <v>#REF!</v>
      </c>
      <c r="E172" s="26" t="s">
        <v>63</v>
      </c>
      <c r="F172" s="26" t="e">
        <f>#REF!</f>
        <v>#REF!</v>
      </c>
      <c r="G172" s="27">
        <f>IFERROR(VLOOKUP(D172,'データ（触らない）'!$R$44:$S$60,2,FALSE),0)</f>
        <v>0</v>
      </c>
      <c r="H172" s="27" t="e">
        <f t="shared" si="11"/>
        <v>#REF!</v>
      </c>
    </row>
    <row r="173" spans="1:8">
      <c r="A173">
        <v>165</v>
      </c>
      <c r="B173" s="21" t="e">
        <f>#REF!</f>
        <v>#REF!</v>
      </c>
      <c r="C173" s="20" t="e">
        <f>#REF!</f>
        <v>#REF!</v>
      </c>
      <c r="D173" s="1" t="e">
        <f>#REF!</f>
        <v>#REF!</v>
      </c>
      <c r="E173" s="1" t="e">
        <f>#REF!</f>
        <v>#REF!</v>
      </c>
      <c r="F173" s="1" t="e">
        <f>IF(E173=0,0,1)</f>
        <v>#REF!</v>
      </c>
      <c r="G173" s="22" t="e">
        <f>IF(#REF!="〇",#REF!,#REF!)</f>
        <v>#REF!</v>
      </c>
      <c r="H173" s="22" t="e">
        <f>F173*G173</f>
        <v>#REF!</v>
      </c>
    </row>
    <row r="174" spans="1:8">
      <c r="A174">
        <v>166</v>
      </c>
      <c r="B174" s="21" t="e">
        <f>#REF!</f>
        <v>#REF!</v>
      </c>
      <c r="C174" s="20" t="e">
        <f>#REF!</f>
        <v>#REF!</v>
      </c>
      <c r="D174" s="1" t="e">
        <f>#REF!</f>
        <v>#REF!</v>
      </c>
      <c r="E174" s="1" t="e">
        <f>#REF!</f>
        <v>#REF!</v>
      </c>
      <c r="F174" s="1" t="e">
        <f t="shared" ref="F174:F177" si="13">IF(E174=0,0,1)</f>
        <v>#REF!</v>
      </c>
      <c r="G174" s="22" t="e">
        <f>IF(#REF!="〇",#REF!,#REF!)</f>
        <v>#REF!</v>
      </c>
      <c r="H174" s="22" t="e">
        <f t="shared" ref="H174:H213" si="14">F174*G174</f>
        <v>#REF!</v>
      </c>
    </row>
    <row r="175" spans="1:8">
      <c r="A175">
        <v>167</v>
      </c>
      <c r="B175" s="21" t="e">
        <f>#REF!</f>
        <v>#REF!</v>
      </c>
      <c r="C175" s="20" t="e">
        <f>#REF!</f>
        <v>#REF!</v>
      </c>
      <c r="D175" s="1" t="e">
        <f>#REF!</f>
        <v>#REF!</v>
      </c>
      <c r="E175" s="1" t="e">
        <f>#REF!</f>
        <v>#REF!</v>
      </c>
      <c r="F175" s="1" t="e">
        <f t="shared" si="13"/>
        <v>#REF!</v>
      </c>
      <c r="G175" s="22" t="e">
        <f>IF(#REF!="〇",#REF!,#REF!)</f>
        <v>#REF!</v>
      </c>
      <c r="H175" s="22" t="e">
        <f t="shared" si="14"/>
        <v>#REF!</v>
      </c>
    </row>
    <row r="176" spans="1:8">
      <c r="A176">
        <v>168</v>
      </c>
      <c r="B176" s="21" t="e">
        <f>#REF!</f>
        <v>#REF!</v>
      </c>
      <c r="C176" s="20" t="e">
        <f>#REF!</f>
        <v>#REF!</v>
      </c>
      <c r="D176" s="1" t="e">
        <f>#REF!</f>
        <v>#REF!</v>
      </c>
      <c r="E176" s="1" t="e">
        <f>#REF!</f>
        <v>#REF!</v>
      </c>
      <c r="F176" s="1" t="e">
        <f t="shared" si="13"/>
        <v>#REF!</v>
      </c>
      <c r="G176" s="22" t="e">
        <f>IF(#REF!="〇",#REF!,#REF!)</f>
        <v>#REF!</v>
      </c>
      <c r="H176" s="22" t="e">
        <f t="shared" si="14"/>
        <v>#REF!</v>
      </c>
    </row>
    <row r="177" spans="1:8">
      <c r="A177">
        <v>169</v>
      </c>
      <c r="B177" s="21" t="e">
        <f>#REF!</f>
        <v>#REF!</v>
      </c>
      <c r="C177" s="20" t="e">
        <f>#REF!</f>
        <v>#REF!</v>
      </c>
      <c r="D177" s="1" t="e">
        <f>#REF!</f>
        <v>#REF!</v>
      </c>
      <c r="E177" s="1" t="e">
        <f>#REF!&amp;"～"&amp;#REF!</f>
        <v>#REF!</v>
      </c>
      <c r="F177" s="1" t="e">
        <f t="shared" si="13"/>
        <v>#REF!</v>
      </c>
      <c r="G177" s="22" t="e">
        <f>IF(#REF!="〇",#REF!,#REF!)</f>
        <v>#REF!</v>
      </c>
      <c r="H177" s="22" t="e">
        <f t="shared" si="14"/>
        <v>#REF!</v>
      </c>
    </row>
    <row r="178" spans="1:8">
      <c r="A178">
        <v>170</v>
      </c>
      <c r="B178" s="21" t="e">
        <f>#REF!</f>
        <v>#REF!</v>
      </c>
      <c r="C178" s="20" t="e">
        <f>#REF!</f>
        <v>#REF!</v>
      </c>
      <c r="D178" s="1" t="e">
        <f>#REF!</f>
        <v>#REF!</v>
      </c>
      <c r="E178" s="1" t="s">
        <v>63</v>
      </c>
      <c r="F178" s="1" t="e">
        <f>#REF!</f>
        <v>#REF!</v>
      </c>
      <c r="G178" s="22">
        <f>IFERROR(VLOOKUP(D178,'データ（触らない）'!$R$3:$S$17,2,FALSE),0)</f>
        <v>0</v>
      </c>
      <c r="H178" s="22" t="e">
        <f t="shared" si="14"/>
        <v>#REF!</v>
      </c>
    </row>
    <row r="179" spans="1:8">
      <c r="A179">
        <v>171</v>
      </c>
      <c r="B179" s="21" t="e">
        <f>#REF!</f>
        <v>#REF!</v>
      </c>
      <c r="C179" s="20" t="e">
        <f>#REF!</f>
        <v>#REF!</v>
      </c>
      <c r="D179" s="1" t="e">
        <f>#REF!</f>
        <v>#REF!</v>
      </c>
      <c r="E179" s="1" t="s">
        <v>63</v>
      </c>
      <c r="F179" s="1" t="e">
        <f>#REF!</f>
        <v>#REF!</v>
      </c>
      <c r="G179" s="22">
        <f>IFERROR(VLOOKUP(D179,'データ（触らない）'!$R$3:$S$17,2,FALSE),0)</f>
        <v>0</v>
      </c>
      <c r="H179" s="22" t="e">
        <f t="shared" si="14"/>
        <v>#REF!</v>
      </c>
    </row>
    <row r="180" spans="1:8">
      <c r="A180">
        <v>172</v>
      </c>
      <c r="B180" s="21" t="e">
        <f>#REF!</f>
        <v>#REF!</v>
      </c>
      <c r="C180" s="20" t="e">
        <f>#REF!</f>
        <v>#REF!</v>
      </c>
      <c r="D180" s="1" t="e">
        <f>#REF!</f>
        <v>#REF!</v>
      </c>
      <c r="E180" s="1" t="s">
        <v>63</v>
      </c>
      <c r="F180" s="1" t="e">
        <f>#REF!</f>
        <v>#REF!</v>
      </c>
      <c r="G180" s="22">
        <f>IFERROR(VLOOKUP(D180,'データ（触らない）'!$R$3:$S$17,2,FALSE),0)</f>
        <v>0</v>
      </c>
      <c r="H180" s="22" t="e">
        <f t="shared" si="14"/>
        <v>#REF!</v>
      </c>
    </row>
    <row r="181" spans="1:8">
      <c r="A181">
        <v>173</v>
      </c>
      <c r="B181" s="21" t="e">
        <f>#REF!</f>
        <v>#REF!</v>
      </c>
      <c r="C181" s="20" t="e">
        <f>#REF!</f>
        <v>#REF!</v>
      </c>
      <c r="D181" s="1" t="e">
        <f>#REF!</f>
        <v>#REF!</v>
      </c>
      <c r="E181" s="1" t="s">
        <v>63</v>
      </c>
      <c r="F181" s="1" t="e">
        <f>#REF!</f>
        <v>#REF!</v>
      </c>
      <c r="G181" s="22">
        <f>IFERROR(VLOOKUP(D181,'データ（触らない）'!$R$3:$S$17,2,FALSE),0)</f>
        <v>0</v>
      </c>
      <c r="H181" s="22" t="e">
        <f t="shared" si="14"/>
        <v>#REF!</v>
      </c>
    </row>
    <row r="182" spans="1:8">
      <c r="A182">
        <v>174</v>
      </c>
      <c r="B182" s="21" t="e">
        <f>#REF!</f>
        <v>#REF!</v>
      </c>
      <c r="C182" s="20" t="e">
        <f>#REF!</f>
        <v>#REF!</v>
      </c>
      <c r="D182" s="1" t="e">
        <f>#REF!</f>
        <v>#REF!</v>
      </c>
      <c r="E182" s="1" t="s">
        <v>63</v>
      </c>
      <c r="F182" s="1" t="e">
        <f>#REF!</f>
        <v>#REF!</v>
      </c>
      <c r="G182" s="22">
        <f>IFERROR(VLOOKUP(D182,'データ（触らない）'!$R$3:$S$17,2,FALSE),0)</f>
        <v>0</v>
      </c>
      <c r="H182" s="22" t="e">
        <f t="shared" si="14"/>
        <v>#REF!</v>
      </c>
    </row>
    <row r="183" spans="1:8">
      <c r="A183">
        <v>175</v>
      </c>
      <c r="B183" s="21" t="e">
        <f>#REF!</f>
        <v>#REF!</v>
      </c>
      <c r="C183" s="20" t="e">
        <f>#REF!</f>
        <v>#REF!</v>
      </c>
      <c r="D183" s="1" t="e">
        <f>#REF!</f>
        <v>#REF!</v>
      </c>
      <c r="E183" s="1" t="s">
        <v>63</v>
      </c>
      <c r="F183" s="1" t="e">
        <f>#REF!</f>
        <v>#REF!</v>
      </c>
      <c r="G183" s="22">
        <f>IFERROR(VLOOKUP(D183,'データ（触らない）'!$R$3:$S$17,2,FALSE),0)</f>
        <v>0</v>
      </c>
      <c r="H183" s="22" t="e">
        <f t="shared" si="14"/>
        <v>#REF!</v>
      </c>
    </row>
    <row r="184" spans="1:8">
      <c r="A184">
        <v>176</v>
      </c>
      <c r="B184" s="21" t="e">
        <f>#REF!</f>
        <v>#REF!</v>
      </c>
      <c r="C184" s="20" t="e">
        <f>#REF!</f>
        <v>#REF!</v>
      </c>
      <c r="D184" s="1" t="e">
        <f>#REF!</f>
        <v>#REF!</v>
      </c>
      <c r="E184" s="1" t="s">
        <v>63</v>
      </c>
      <c r="F184" s="1" t="e">
        <f>#REF!</f>
        <v>#REF!</v>
      </c>
      <c r="G184" s="22">
        <f>IFERROR(VLOOKUP(D184,'データ（触らない）'!$R$3:$S$17,2,FALSE),0)</f>
        <v>0</v>
      </c>
      <c r="H184" s="22" t="e">
        <f t="shared" si="14"/>
        <v>#REF!</v>
      </c>
    </row>
    <row r="185" spans="1:8">
      <c r="A185">
        <v>177</v>
      </c>
      <c r="B185" s="21" t="e">
        <f>#REF!</f>
        <v>#REF!</v>
      </c>
      <c r="C185" s="20" t="e">
        <f>#REF!</f>
        <v>#REF!</v>
      </c>
      <c r="D185" s="1" t="e">
        <f>#REF!</f>
        <v>#REF!</v>
      </c>
      <c r="E185" s="1" t="s">
        <v>63</v>
      </c>
      <c r="F185" s="1" t="e">
        <f>#REF!</f>
        <v>#REF!</v>
      </c>
      <c r="G185" s="22">
        <f>IFERROR(VLOOKUP(D185,'データ（触らない）'!$R$3:$S$17,2,FALSE),0)</f>
        <v>0</v>
      </c>
      <c r="H185" s="22" t="e">
        <f t="shared" si="14"/>
        <v>#REF!</v>
      </c>
    </row>
    <row r="186" spans="1:8">
      <c r="A186">
        <v>178</v>
      </c>
      <c r="B186" s="21" t="e">
        <f>#REF!</f>
        <v>#REF!</v>
      </c>
      <c r="C186" s="20" t="e">
        <f>#REF!</f>
        <v>#REF!</v>
      </c>
      <c r="D186" s="1" t="e">
        <f>#REF!</f>
        <v>#REF!</v>
      </c>
      <c r="E186" s="1" t="s">
        <v>63</v>
      </c>
      <c r="F186" s="1" t="e">
        <f>#REF!</f>
        <v>#REF!</v>
      </c>
      <c r="G186" s="22">
        <f>IFERROR(VLOOKUP(D186,'データ（触らない）'!$R$3:$S$17,2,FALSE),0)</f>
        <v>0</v>
      </c>
      <c r="H186" s="22" t="e">
        <f t="shared" si="14"/>
        <v>#REF!</v>
      </c>
    </row>
    <row r="187" spans="1:8">
      <c r="A187">
        <v>179</v>
      </c>
      <c r="B187" s="21" t="e">
        <f>#REF!</f>
        <v>#REF!</v>
      </c>
      <c r="C187" s="20" t="e">
        <f>#REF!</f>
        <v>#REF!</v>
      </c>
      <c r="D187" s="1" t="e">
        <f>#REF!</f>
        <v>#REF!</v>
      </c>
      <c r="E187" s="1" t="s">
        <v>63</v>
      </c>
      <c r="F187" s="1" t="e">
        <f>#REF!</f>
        <v>#REF!</v>
      </c>
      <c r="G187" s="22">
        <f>IFERROR(VLOOKUP(D187,'データ（触らない）'!$R$3:$S$17,2,FALSE),0)</f>
        <v>0</v>
      </c>
      <c r="H187" s="22" t="e">
        <f t="shared" si="14"/>
        <v>#REF!</v>
      </c>
    </row>
    <row r="188" spans="1:8">
      <c r="A188">
        <v>180</v>
      </c>
      <c r="B188" s="21" t="e">
        <f>#REF!</f>
        <v>#REF!</v>
      </c>
      <c r="C188" s="20" t="e">
        <f>#REF!</f>
        <v>#REF!</v>
      </c>
      <c r="D188" s="1" t="e">
        <f>#REF!</f>
        <v>#REF!</v>
      </c>
      <c r="E188" s="1" t="e">
        <f>#REF!</f>
        <v>#REF!</v>
      </c>
      <c r="F188" s="1" t="e">
        <f>IF(E188=0,0,1)</f>
        <v>#REF!</v>
      </c>
      <c r="G188" s="22" t="e">
        <f>IF(#REF!="〇",#REF!,#REF!)</f>
        <v>#REF!</v>
      </c>
      <c r="H188" s="22" t="e">
        <f t="shared" si="14"/>
        <v>#REF!</v>
      </c>
    </row>
    <row r="189" spans="1:8">
      <c r="A189">
        <v>181</v>
      </c>
      <c r="B189" s="21" t="e">
        <f>#REF!</f>
        <v>#REF!</v>
      </c>
      <c r="C189" s="20" t="e">
        <f>#REF!</f>
        <v>#REF!</v>
      </c>
      <c r="D189" s="1" t="e">
        <f>#REF!</f>
        <v>#REF!</v>
      </c>
      <c r="E189" s="1" t="s">
        <v>63</v>
      </c>
      <c r="F189" s="1" t="e">
        <f>#REF!</f>
        <v>#REF!</v>
      </c>
      <c r="G189" s="22">
        <f>IFERROR(VLOOKUP(D189,'データ（触らない）'!$R$21:$S$29,2,FALSE),0)</f>
        <v>0</v>
      </c>
      <c r="H189" s="22" t="e">
        <f t="shared" si="14"/>
        <v>#REF!</v>
      </c>
    </row>
    <row r="190" spans="1:8">
      <c r="A190">
        <v>182</v>
      </c>
      <c r="B190" s="21" t="e">
        <f>#REF!</f>
        <v>#REF!</v>
      </c>
      <c r="C190" s="20" t="e">
        <f>#REF!</f>
        <v>#REF!</v>
      </c>
      <c r="D190" s="1" t="e">
        <f>#REF!</f>
        <v>#REF!</v>
      </c>
      <c r="E190" s="1" t="s">
        <v>63</v>
      </c>
      <c r="F190" s="1" t="e">
        <f>#REF!</f>
        <v>#REF!</v>
      </c>
      <c r="G190" s="22">
        <f>IFERROR(VLOOKUP(D190,'データ（触らない）'!$R$21:$S$29,2,FALSE),0)</f>
        <v>0</v>
      </c>
      <c r="H190" s="22" t="e">
        <f t="shared" si="14"/>
        <v>#REF!</v>
      </c>
    </row>
    <row r="191" spans="1:8">
      <c r="A191">
        <v>183</v>
      </c>
      <c r="B191" s="21" t="e">
        <f>#REF!</f>
        <v>#REF!</v>
      </c>
      <c r="C191" s="20" t="e">
        <f>#REF!</f>
        <v>#REF!</v>
      </c>
      <c r="D191" s="1" t="e">
        <f>#REF!</f>
        <v>#REF!</v>
      </c>
      <c r="E191" s="1" t="s">
        <v>63</v>
      </c>
      <c r="F191" s="1" t="e">
        <f>#REF!</f>
        <v>#REF!</v>
      </c>
      <c r="G191" s="22">
        <f>IFERROR(VLOOKUP(D191,'データ（触らない）'!$R$21:$S$29,2,FALSE),0)</f>
        <v>0</v>
      </c>
      <c r="H191" s="22" t="e">
        <f t="shared" si="14"/>
        <v>#REF!</v>
      </c>
    </row>
    <row r="192" spans="1:8">
      <c r="A192">
        <v>184</v>
      </c>
      <c r="B192" s="21" t="e">
        <f>#REF!</f>
        <v>#REF!</v>
      </c>
      <c r="C192" s="20" t="e">
        <f>#REF!</f>
        <v>#REF!</v>
      </c>
      <c r="D192" s="1" t="e">
        <f>#REF!</f>
        <v>#REF!</v>
      </c>
      <c r="E192" s="1" t="s">
        <v>63</v>
      </c>
      <c r="F192" s="1" t="e">
        <f>#REF!</f>
        <v>#REF!</v>
      </c>
      <c r="G192" s="22">
        <f>IFERROR(VLOOKUP(D192,'データ（触らない）'!$R$21:$S$29,2,FALSE),0)</f>
        <v>0</v>
      </c>
      <c r="H192" s="22" t="e">
        <f t="shared" si="14"/>
        <v>#REF!</v>
      </c>
    </row>
    <row r="193" spans="1:8">
      <c r="A193">
        <v>185</v>
      </c>
      <c r="B193" s="21" t="e">
        <f>#REF!</f>
        <v>#REF!</v>
      </c>
      <c r="C193" s="20" t="e">
        <f>#REF!</f>
        <v>#REF!</v>
      </c>
      <c r="D193" s="1" t="e">
        <f>#REF!</f>
        <v>#REF!</v>
      </c>
      <c r="E193" s="1" t="s">
        <v>63</v>
      </c>
      <c r="F193" s="1" t="e">
        <f>#REF!</f>
        <v>#REF!</v>
      </c>
      <c r="G193" s="22">
        <f>IFERROR(VLOOKUP(D193,'データ（触らない）'!$R$21:$S$29,2,FALSE),0)</f>
        <v>0</v>
      </c>
      <c r="H193" s="22" t="e">
        <f t="shared" si="14"/>
        <v>#REF!</v>
      </c>
    </row>
    <row r="194" spans="1:8">
      <c r="A194">
        <v>186</v>
      </c>
      <c r="B194" s="21" t="e">
        <f>#REF!</f>
        <v>#REF!</v>
      </c>
      <c r="C194" s="20" t="e">
        <f>#REF!</f>
        <v>#REF!</v>
      </c>
      <c r="D194" s="1" t="e">
        <f>#REF!</f>
        <v>#REF!</v>
      </c>
      <c r="E194" s="1" t="s">
        <v>63</v>
      </c>
      <c r="F194" s="1" t="e">
        <f>#REF!</f>
        <v>#REF!</v>
      </c>
      <c r="G194" s="22">
        <f>IFERROR(VLOOKUP(D194,'データ（触らない）'!$R$21:$S$29,2,FALSE),0)</f>
        <v>0</v>
      </c>
      <c r="H194" s="22" t="e">
        <f t="shared" si="14"/>
        <v>#REF!</v>
      </c>
    </row>
    <row r="195" spans="1:8">
      <c r="A195">
        <v>187</v>
      </c>
      <c r="B195" s="21" t="e">
        <f>#REF!</f>
        <v>#REF!</v>
      </c>
      <c r="C195" s="20" t="e">
        <f>#REF!</f>
        <v>#REF!</v>
      </c>
      <c r="D195" s="1" t="e">
        <f>#REF!</f>
        <v>#REF!</v>
      </c>
      <c r="E195" s="1" t="e">
        <f>#REF!</f>
        <v>#REF!</v>
      </c>
      <c r="F195" s="1" t="e">
        <f t="shared" ref="F195" si="15">IF(E195=0,0,1)</f>
        <v>#REF!</v>
      </c>
      <c r="G195" s="22" t="e">
        <f>IF(#REF!="〇",#REF!,#REF!)</f>
        <v>#REF!</v>
      </c>
      <c r="H195" s="22" t="e">
        <f t="shared" si="14"/>
        <v>#REF!</v>
      </c>
    </row>
    <row r="196" spans="1:8">
      <c r="A196">
        <v>188</v>
      </c>
      <c r="B196" s="21" t="e">
        <f>#REF!</f>
        <v>#REF!</v>
      </c>
      <c r="C196" s="20" t="e">
        <f>#REF!</f>
        <v>#REF!</v>
      </c>
      <c r="D196" s="1" t="e">
        <f>#REF!</f>
        <v>#REF!</v>
      </c>
      <c r="E196" s="1" t="s">
        <v>63</v>
      </c>
      <c r="F196" s="1" t="e">
        <f>#REF!</f>
        <v>#REF!</v>
      </c>
      <c r="G196" s="22">
        <f>IFERROR(VLOOKUP(D196,'データ（触らない）'!$R$33:$S$40,2,FALSE),0)</f>
        <v>0</v>
      </c>
      <c r="H196" s="22" t="e">
        <f t="shared" si="14"/>
        <v>#REF!</v>
      </c>
    </row>
    <row r="197" spans="1:8">
      <c r="A197">
        <v>189</v>
      </c>
      <c r="B197" s="21" t="e">
        <f>#REF!</f>
        <v>#REF!</v>
      </c>
      <c r="C197" s="20" t="e">
        <f>#REF!</f>
        <v>#REF!</v>
      </c>
      <c r="D197" s="1" t="e">
        <f>#REF!</f>
        <v>#REF!</v>
      </c>
      <c r="E197" s="1" t="s">
        <v>63</v>
      </c>
      <c r="F197" s="1" t="e">
        <f>#REF!</f>
        <v>#REF!</v>
      </c>
      <c r="G197" s="22">
        <f>IFERROR(VLOOKUP(D197,'データ（触らない）'!$R$33:$S$40,2,FALSE),0)</f>
        <v>0</v>
      </c>
      <c r="H197" s="22" t="e">
        <f t="shared" si="14"/>
        <v>#REF!</v>
      </c>
    </row>
    <row r="198" spans="1:8">
      <c r="A198">
        <v>190</v>
      </c>
      <c r="B198" s="21" t="e">
        <f>#REF!</f>
        <v>#REF!</v>
      </c>
      <c r="C198" s="20" t="e">
        <f>#REF!</f>
        <v>#REF!</v>
      </c>
      <c r="D198" s="1" t="e">
        <f>#REF!</f>
        <v>#REF!</v>
      </c>
      <c r="E198" s="1" t="s">
        <v>63</v>
      </c>
      <c r="F198" s="1" t="e">
        <f>#REF!</f>
        <v>#REF!</v>
      </c>
      <c r="G198" s="22">
        <f>IFERROR(VLOOKUP(D198,'データ（触らない）'!$R$33:$S$40,2,FALSE),0)</f>
        <v>0</v>
      </c>
      <c r="H198" s="22" t="e">
        <f t="shared" si="14"/>
        <v>#REF!</v>
      </c>
    </row>
    <row r="199" spans="1:8">
      <c r="A199">
        <v>191</v>
      </c>
      <c r="B199" s="21" t="e">
        <f>#REF!</f>
        <v>#REF!</v>
      </c>
      <c r="C199" s="20" t="e">
        <f>#REF!</f>
        <v>#REF!</v>
      </c>
      <c r="D199" s="1" t="e">
        <f>#REF!</f>
        <v>#REF!</v>
      </c>
      <c r="E199" s="1" t="s">
        <v>63</v>
      </c>
      <c r="F199" s="1" t="e">
        <f>#REF!</f>
        <v>#REF!</v>
      </c>
      <c r="G199" s="22">
        <f>IFERROR(VLOOKUP(D199,'データ（触らない）'!$R$33:$S$40,2,FALSE),0)</f>
        <v>0</v>
      </c>
      <c r="H199" s="22" t="e">
        <f t="shared" si="14"/>
        <v>#REF!</v>
      </c>
    </row>
    <row r="200" spans="1:8">
      <c r="A200">
        <v>192</v>
      </c>
      <c r="B200" s="21" t="e">
        <f>#REF!</f>
        <v>#REF!</v>
      </c>
      <c r="C200" s="20" t="e">
        <f>#REF!</f>
        <v>#REF!</v>
      </c>
      <c r="D200" s="1" t="e">
        <f>#REF!</f>
        <v>#REF!</v>
      </c>
      <c r="E200" s="1" t="s">
        <v>63</v>
      </c>
      <c r="F200" s="1" t="e">
        <f>#REF!</f>
        <v>#REF!</v>
      </c>
      <c r="G200" s="22">
        <f>IFERROR(VLOOKUP(D200,'データ（触らない）'!$R$33:$S$40,2,FALSE),0)</f>
        <v>0</v>
      </c>
      <c r="H200" s="22" t="e">
        <f t="shared" si="14"/>
        <v>#REF!</v>
      </c>
    </row>
    <row r="201" spans="1:8">
      <c r="A201">
        <v>193</v>
      </c>
      <c r="B201" s="21" t="e">
        <f>#REF!</f>
        <v>#REF!</v>
      </c>
      <c r="C201" s="20" t="e">
        <f>#REF!</f>
        <v>#REF!</v>
      </c>
      <c r="D201" s="1" t="e">
        <f>#REF!</f>
        <v>#REF!</v>
      </c>
      <c r="E201" s="1" t="s">
        <v>63</v>
      </c>
      <c r="F201" s="1" t="e">
        <f>#REF!</f>
        <v>#REF!</v>
      </c>
      <c r="G201" s="22">
        <f>IFERROR(VLOOKUP(D201,'データ（触らない）'!$R$44:$S$60,2,FALSE),0)</f>
        <v>0</v>
      </c>
      <c r="H201" s="22" t="e">
        <f t="shared" si="14"/>
        <v>#REF!</v>
      </c>
    </row>
    <row r="202" spans="1:8">
      <c r="A202">
        <v>194</v>
      </c>
      <c r="B202" s="21" t="e">
        <f>#REF!</f>
        <v>#REF!</v>
      </c>
      <c r="C202" s="20" t="e">
        <f>#REF!</f>
        <v>#REF!</v>
      </c>
      <c r="D202" s="1" t="e">
        <f>#REF!</f>
        <v>#REF!</v>
      </c>
      <c r="E202" s="1" t="s">
        <v>63</v>
      </c>
      <c r="F202" s="1" t="e">
        <f>#REF!</f>
        <v>#REF!</v>
      </c>
      <c r="G202" s="22">
        <f>IFERROR(VLOOKUP(D202,'データ（触らない）'!$R$44:$S$60,2,FALSE),0)</f>
        <v>0</v>
      </c>
      <c r="H202" s="22" t="e">
        <f t="shared" si="14"/>
        <v>#REF!</v>
      </c>
    </row>
    <row r="203" spans="1:8">
      <c r="A203">
        <v>195</v>
      </c>
      <c r="B203" s="21" t="e">
        <f>#REF!</f>
        <v>#REF!</v>
      </c>
      <c r="C203" s="20" t="e">
        <f>#REF!</f>
        <v>#REF!</v>
      </c>
      <c r="D203" s="1" t="e">
        <f>#REF!</f>
        <v>#REF!</v>
      </c>
      <c r="E203" s="1" t="s">
        <v>63</v>
      </c>
      <c r="F203" s="1" t="e">
        <f>#REF!</f>
        <v>#REF!</v>
      </c>
      <c r="G203" s="22">
        <f>IFERROR(VLOOKUP(D203,'データ（触らない）'!$R$44:$S$60,2,FALSE),0)</f>
        <v>0</v>
      </c>
      <c r="H203" s="22" t="e">
        <f t="shared" si="14"/>
        <v>#REF!</v>
      </c>
    </row>
    <row r="204" spans="1:8">
      <c r="A204">
        <v>196</v>
      </c>
      <c r="B204" s="21" t="e">
        <f>#REF!</f>
        <v>#REF!</v>
      </c>
      <c r="C204" s="20" t="e">
        <f>#REF!</f>
        <v>#REF!</v>
      </c>
      <c r="D204" s="1" t="e">
        <f>#REF!</f>
        <v>#REF!</v>
      </c>
      <c r="E204" s="1" t="s">
        <v>63</v>
      </c>
      <c r="F204" s="1" t="e">
        <f>#REF!</f>
        <v>#REF!</v>
      </c>
      <c r="G204" s="22">
        <f>IFERROR(VLOOKUP(D204,'データ（触らない）'!$R$44:$S$60,2,FALSE),0)</f>
        <v>0</v>
      </c>
      <c r="H204" s="22" t="e">
        <f t="shared" si="14"/>
        <v>#REF!</v>
      </c>
    </row>
    <row r="205" spans="1:8">
      <c r="A205">
        <v>197</v>
      </c>
      <c r="B205" s="21" t="e">
        <f>#REF!</f>
        <v>#REF!</v>
      </c>
      <c r="C205" s="20" t="e">
        <f>#REF!</f>
        <v>#REF!</v>
      </c>
      <c r="D205" s="1" t="e">
        <f>#REF!</f>
        <v>#REF!</v>
      </c>
      <c r="E205" s="1" t="s">
        <v>63</v>
      </c>
      <c r="F205" s="1" t="e">
        <f>#REF!</f>
        <v>#REF!</v>
      </c>
      <c r="G205" s="22">
        <f>IFERROR(VLOOKUP(D205,'データ（触らない）'!$R$44:$S$60,2,FALSE),0)</f>
        <v>0</v>
      </c>
      <c r="H205" s="22" t="e">
        <f t="shared" si="14"/>
        <v>#REF!</v>
      </c>
    </row>
    <row r="206" spans="1:8">
      <c r="A206">
        <v>198</v>
      </c>
      <c r="B206" s="21" t="e">
        <f>#REF!</f>
        <v>#REF!</v>
      </c>
      <c r="C206" s="20" t="e">
        <f>#REF!</f>
        <v>#REF!</v>
      </c>
      <c r="D206" s="1" t="e">
        <f>#REF!</f>
        <v>#REF!</v>
      </c>
      <c r="E206" s="1" t="s">
        <v>63</v>
      </c>
      <c r="F206" s="1" t="e">
        <f>#REF!</f>
        <v>#REF!</v>
      </c>
      <c r="G206" s="22">
        <f>IFERROR(VLOOKUP(D206,'データ（触らない）'!$R$44:$S$60,2,FALSE),0)</f>
        <v>0</v>
      </c>
      <c r="H206" s="22" t="e">
        <f t="shared" si="14"/>
        <v>#REF!</v>
      </c>
    </row>
    <row r="207" spans="1:8">
      <c r="A207">
        <v>199</v>
      </c>
      <c r="B207" s="21" t="e">
        <f>#REF!</f>
        <v>#REF!</v>
      </c>
      <c r="C207" s="20" t="e">
        <f>#REF!</f>
        <v>#REF!</v>
      </c>
      <c r="D207" s="1" t="e">
        <f>#REF!</f>
        <v>#REF!</v>
      </c>
      <c r="E207" s="1" t="s">
        <v>63</v>
      </c>
      <c r="F207" s="1" t="e">
        <f>#REF!</f>
        <v>#REF!</v>
      </c>
      <c r="G207" s="22">
        <f>IFERROR(VLOOKUP(D207,'データ（触らない）'!$R$44:$S$60,2,FALSE),0)</f>
        <v>0</v>
      </c>
      <c r="H207" s="22" t="e">
        <f t="shared" si="14"/>
        <v>#REF!</v>
      </c>
    </row>
    <row r="208" spans="1:8">
      <c r="A208">
        <v>200</v>
      </c>
      <c r="B208" s="21" t="e">
        <f>#REF!</f>
        <v>#REF!</v>
      </c>
      <c r="C208" s="20" t="e">
        <f>#REF!</f>
        <v>#REF!</v>
      </c>
      <c r="D208" s="1" t="e">
        <f>#REF!</f>
        <v>#REF!</v>
      </c>
      <c r="E208" s="1" t="s">
        <v>63</v>
      </c>
      <c r="F208" s="1" t="e">
        <f>#REF!</f>
        <v>#REF!</v>
      </c>
      <c r="G208" s="22">
        <f>IFERROR(VLOOKUP(D208,'データ（触らない）'!$R$44:$S$60,2,FALSE),0)</f>
        <v>0</v>
      </c>
      <c r="H208" s="22" t="e">
        <f t="shared" si="14"/>
        <v>#REF!</v>
      </c>
    </row>
    <row r="209" spans="1:8">
      <c r="A209">
        <v>201</v>
      </c>
      <c r="B209" s="21" t="e">
        <f>#REF!</f>
        <v>#REF!</v>
      </c>
      <c r="C209" s="20" t="e">
        <f>#REF!</f>
        <v>#REF!</v>
      </c>
      <c r="D209" s="1" t="e">
        <f>#REF!</f>
        <v>#REF!</v>
      </c>
      <c r="E209" s="1" t="s">
        <v>63</v>
      </c>
      <c r="F209" s="1" t="e">
        <f>#REF!</f>
        <v>#REF!</v>
      </c>
      <c r="G209" s="22">
        <f>IFERROR(VLOOKUP(D209,'データ（触らない）'!$R$44:$S$60,2,FALSE),0)</f>
        <v>0</v>
      </c>
      <c r="H209" s="22" t="e">
        <f t="shared" si="14"/>
        <v>#REF!</v>
      </c>
    </row>
    <row r="210" spans="1:8">
      <c r="A210">
        <v>202</v>
      </c>
      <c r="B210" s="21" t="e">
        <f>#REF!</f>
        <v>#REF!</v>
      </c>
      <c r="C210" s="20" t="e">
        <f>#REF!</f>
        <v>#REF!</v>
      </c>
      <c r="D210" s="1" t="e">
        <f>#REF!</f>
        <v>#REF!</v>
      </c>
      <c r="E210" s="1" t="s">
        <v>63</v>
      </c>
      <c r="F210" s="1" t="e">
        <f>#REF!</f>
        <v>#REF!</v>
      </c>
      <c r="G210" s="22">
        <f>IFERROR(VLOOKUP(D210,'データ（触らない）'!$R$44:$S$60,2,FALSE),0)</f>
        <v>0</v>
      </c>
      <c r="H210" s="22" t="e">
        <f t="shared" si="14"/>
        <v>#REF!</v>
      </c>
    </row>
    <row r="211" spans="1:8">
      <c r="A211">
        <v>203</v>
      </c>
      <c r="B211" s="21" t="e">
        <f>#REF!</f>
        <v>#REF!</v>
      </c>
      <c r="C211" s="20" t="e">
        <f>#REF!</f>
        <v>#REF!</v>
      </c>
      <c r="D211" s="1" t="e">
        <f>#REF!</f>
        <v>#REF!</v>
      </c>
      <c r="E211" s="1" t="s">
        <v>63</v>
      </c>
      <c r="F211" s="1" t="e">
        <f>#REF!</f>
        <v>#REF!</v>
      </c>
      <c r="G211" s="22">
        <f>IFERROR(VLOOKUP(D211,'データ（触らない）'!$R$44:$S$60,2,FALSE),0)</f>
        <v>0</v>
      </c>
      <c r="H211" s="22" t="e">
        <f t="shared" si="14"/>
        <v>#REF!</v>
      </c>
    </row>
    <row r="212" spans="1:8">
      <c r="A212">
        <v>204</v>
      </c>
      <c r="B212" s="21" t="e">
        <f>#REF!</f>
        <v>#REF!</v>
      </c>
      <c r="C212" s="20" t="e">
        <f>#REF!</f>
        <v>#REF!</v>
      </c>
      <c r="D212" s="1" t="e">
        <f>#REF!</f>
        <v>#REF!</v>
      </c>
      <c r="E212" s="1" t="s">
        <v>63</v>
      </c>
      <c r="F212" s="1" t="e">
        <f>#REF!</f>
        <v>#REF!</v>
      </c>
      <c r="G212" s="22">
        <f>IFERROR(VLOOKUP(D212,'データ（触らない）'!$R$44:$S$60,2,FALSE),0)</f>
        <v>0</v>
      </c>
      <c r="H212" s="22" t="e">
        <f t="shared" si="14"/>
        <v>#REF!</v>
      </c>
    </row>
    <row r="213" spans="1:8">
      <c r="A213">
        <v>205</v>
      </c>
      <c r="B213" s="21" t="e">
        <f>#REF!</f>
        <v>#REF!</v>
      </c>
      <c r="C213" s="20" t="e">
        <f>#REF!</f>
        <v>#REF!</v>
      </c>
      <c r="D213" s="1" t="e">
        <f>#REF!</f>
        <v>#REF!</v>
      </c>
      <c r="E213" s="1" t="s">
        <v>63</v>
      </c>
      <c r="F213" s="1" t="e">
        <f>#REF!</f>
        <v>#REF!</v>
      </c>
      <c r="G213" s="22">
        <f>IFERROR(VLOOKUP(D213,'データ（触らない）'!$R$44:$S$60,2,FALSE),0)</f>
        <v>0</v>
      </c>
      <c r="H213" s="22" t="e">
        <f t="shared" si="14"/>
        <v>#REF!</v>
      </c>
    </row>
  </sheetData>
  <sheetProtection algorithmName="SHA-512" hashValue="P/inMwYRWPqnbTOpAslh3gFn1LrKGuPIiI0t2zo77vZwvWo0kifmb68tiv4JY0L0MfOXwIlCb2eYqJdmWMxEtA==" saltValue="JJ/nbmhvMH3hk4csAZBeAQ==" spinCount="100000" sheet="1" objects="1" scenarios="1"/>
  <autoFilter ref="A8:H213" xr:uid="{56018501-0681-4016-8F2F-83B42C2814BB}"/>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1C159-03B7-4DCA-A1C7-0030A2F65CDD}">
  <sheetPr>
    <tabColor rgb="FFFFC000"/>
  </sheetPr>
  <dimension ref="A1:P69"/>
  <sheetViews>
    <sheetView tabSelected="1" view="pageBreakPreview" topLeftCell="A25" zoomScaleNormal="40" zoomScaleSheetLayoutView="100" workbookViewId="0">
      <selection activeCell="C15" sqref="C15:F15"/>
    </sheetView>
  </sheetViews>
  <sheetFormatPr defaultColWidth="14.59765625" defaultRowHeight="30" customHeight="1"/>
  <cols>
    <col min="1" max="1" width="3.3984375" bestFit="1" customWidth="1"/>
    <col min="2" max="2" width="14.69921875" customWidth="1"/>
    <col min="3" max="5" width="14.8984375" customWidth="1"/>
    <col min="7" max="7" width="13.19921875" customWidth="1"/>
    <col min="8" max="8" width="7.5" customWidth="1"/>
    <col min="14" max="14" width="6.5" customWidth="1"/>
  </cols>
  <sheetData>
    <row r="1" spans="1:8" ht="30" customHeight="1" thickBot="1">
      <c r="A1" s="1" t="s">
        <v>0</v>
      </c>
      <c r="B1" t="s">
        <v>1</v>
      </c>
    </row>
    <row r="2" spans="1:8" ht="30" customHeight="1">
      <c r="A2" s="1"/>
      <c r="B2" s="134" t="s">
        <v>222</v>
      </c>
      <c r="C2" s="212">
        <v>45930</v>
      </c>
      <c r="D2" s="213"/>
      <c r="E2" s="213"/>
      <c r="F2" s="214"/>
    </row>
    <row r="3" spans="1:8" ht="30" customHeight="1">
      <c r="B3" s="134" t="s">
        <v>2</v>
      </c>
      <c r="C3" s="217" t="s">
        <v>182</v>
      </c>
      <c r="D3" s="218"/>
      <c r="E3" s="218"/>
      <c r="F3" s="219"/>
    </row>
    <row r="4" spans="1:8" ht="30" customHeight="1">
      <c r="B4" s="134" t="s">
        <v>3</v>
      </c>
      <c r="C4" s="217" t="s">
        <v>183</v>
      </c>
      <c r="D4" s="218"/>
      <c r="E4" s="218"/>
      <c r="F4" s="219"/>
    </row>
    <row r="5" spans="1:8" ht="30" customHeight="1">
      <c r="B5" s="134" t="s">
        <v>4</v>
      </c>
      <c r="C5" s="226" t="s">
        <v>184</v>
      </c>
      <c r="D5" s="218"/>
      <c r="E5" s="218"/>
      <c r="F5" s="219"/>
    </row>
    <row r="6" spans="1:8" ht="30" customHeight="1">
      <c r="B6" s="134" t="s">
        <v>5</v>
      </c>
      <c r="C6" s="217" t="s">
        <v>185</v>
      </c>
      <c r="D6" s="218"/>
      <c r="E6" s="218"/>
      <c r="F6" s="219"/>
    </row>
    <row r="7" spans="1:8" ht="30" customHeight="1">
      <c r="B7" s="134" t="s">
        <v>6</v>
      </c>
      <c r="C7" s="217" t="s">
        <v>186</v>
      </c>
      <c r="D7" s="218"/>
      <c r="E7" s="218"/>
      <c r="F7" s="219"/>
    </row>
    <row r="8" spans="1:8" ht="30" customHeight="1" thickBot="1">
      <c r="B8" s="135" t="s">
        <v>7</v>
      </c>
      <c r="C8" s="227" t="s">
        <v>187</v>
      </c>
      <c r="D8" s="228"/>
      <c r="E8" s="228"/>
      <c r="F8" s="229"/>
    </row>
    <row r="9" spans="1:8" ht="30" customHeight="1" thickBot="1">
      <c r="A9" t="s">
        <v>0</v>
      </c>
      <c r="B9" s="139" t="s">
        <v>217</v>
      </c>
    </row>
    <row r="10" spans="1:8" ht="30" customHeight="1">
      <c r="B10" s="141" t="s">
        <v>8</v>
      </c>
      <c r="C10" s="230" t="s">
        <v>188</v>
      </c>
      <c r="D10" s="231"/>
      <c r="E10" s="231"/>
      <c r="F10" s="232"/>
    </row>
    <row r="11" spans="1:8" ht="30" customHeight="1">
      <c r="B11" s="134" t="s">
        <v>9</v>
      </c>
      <c r="C11" s="223" t="s">
        <v>189</v>
      </c>
      <c r="D11" s="224"/>
      <c r="E11" s="224"/>
      <c r="F11" s="225"/>
    </row>
    <row r="12" spans="1:8" ht="24.45" customHeight="1">
      <c r="B12" s="215" t="s">
        <v>152</v>
      </c>
      <c r="C12" s="147"/>
      <c r="D12" s="137" t="str">
        <f>TEXT(C12,"(aaa)")</f>
        <v>(土)</v>
      </c>
      <c r="E12" s="146"/>
      <c r="F12" s="142" t="s">
        <v>215</v>
      </c>
      <c r="H12" s="136"/>
    </row>
    <row r="13" spans="1:8" ht="24.45" customHeight="1">
      <c r="B13" s="216"/>
      <c r="C13" s="147"/>
      <c r="D13" s="137" t="str">
        <f>TEXT(C13,"(aaa)")</f>
        <v>(土)</v>
      </c>
      <c r="E13" s="146"/>
      <c r="F13" s="142" t="s">
        <v>216</v>
      </c>
      <c r="H13" s="136"/>
    </row>
    <row r="14" spans="1:8" ht="30" customHeight="1">
      <c r="B14" s="182"/>
      <c r="C14" s="138"/>
      <c r="D14" s="140"/>
      <c r="E14" s="143">
        <f>DATEDIF(C12,C13,"d") + 1</f>
        <v>1</v>
      </c>
      <c r="F14" s="142" t="s">
        <v>218</v>
      </c>
      <c r="H14" s="136"/>
    </row>
    <row r="15" spans="1:8" ht="30" customHeight="1">
      <c r="B15" s="134" t="s">
        <v>250</v>
      </c>
      <c r="C15" s="223"/>
      <c r="D15" s="224"/>
      <c r="E15" s="224"/>
      <c r="F15" s="225"/>
    </row>
    <row r="16" spans="1:8" ht="30" customHeight="1" thickBot="1">
      <c r="B16" s="196" t="s">
        <v>252</v>
      </c>
      <c r="C16" s="220"/>
      <c r="D16" s="221"/>
      <c r="E16" s="221"/>
      <c r="F16" s="222"/>
    </row>
    <row r="17" spans="1:16" ht="71.55" customHeight="1" thickBot="1">
      <c r="B17" s="195" t="s">
        <v>251</v>
      </c>
      <c r="C17" s="286"/>
      <c r="D17" s="287"/>
      <c r="E17" s="287"/>
      <c r="F17" s="288"/>
    </row>
    <row r="18" spans="1:16" ht="30" customHeight="1">
      <c r="B18" s="2" t="s">
        <v>10</v>
      </c>
      <c r="C18" t="s">
        <v>11</v>
      </c>
    </row>
    <row r="19" spans="1:16" ht="25.95" customHeight="1" thickBot="1">
      <c r="A19" t="s">
        <v>0</v>
      </c>
      <c r="B19" t="s">
        <v>253</v>
      </c>
    </row>
    <row r="20" spans="1:16" ht="25.95" customHeight="1" thickBot="1">
      <c r="A20" s="148" t="s">
        <v>223</v>
      </c>
      <c r="B20" s="149"/>
      <c r="C20" s="149"/>
      <c r="D20" s="149"/>
      <c r="E20" s="149"/>
      <c r="F20" s="149"/>
      <c r="G20" s="149"/>
      <c r="H20" s="69"/>
    </row>
    <row r="21" spans="1:16" ht="25.95" customHeight="1" thickBot="1">
      <c r="A21" s="151"/>
      <c r="B21" s="159" t="s">
        <v>254</v>
      </c>
      <c r="C21" s="144">
        <f>C12</f>
        <v>0</v>
      </c>
      <c r="H21" s="150"/>
    </row>
    <row r="22" spans="1:16" ht="25.95" customHeight="1" thickBot="1">
      <c r="A22" s="151"/>
      <c r="B22" s="62" t="s">
        <v>220</v>
      </c>
      <c r="C22" s="145"/>
      <c r="H22" s="150"/>
      <c r="L22" s="62" t="s">
        <v>228</v>
      </c>
      <c r="O22" t="s">
        <v>241</v>
      </c>
      <c r="P22" t="s">
        <v>242</v>
      </c>
    </row>
    <row r="23" spans="1:16" ht="25.95" customHeight="1" thickBot="1">
      <c r="A23" s="151"/>
      <c r="B23" s="62" t="s">
        <v>239</v>
      </c>
      <c r="C23" t="s">
        <v>240</v>
      </c>
      <c r="H23" s="150"/>
      <c r="L23" t="s">
        <v>229</v>
      </c>
      <c r="O23" t="s">
        <v>229</v>
      </c>
    </row>
    <row r="24" spans="1:16" ht="25.95" customHeight="1" thickBot="1">
      <c r="A24" s="151"/>
      <c r="B24" s="62"/>
      <c r="C24" s="184" t="s">
        <v>236</v>
      </c>
      <c r="D24" s="184" t="s">
        <v>237</v>
      </c>
      <c r="E24" s="184" t="s">
        <v>238</v>
      </c>
      <c r="H24" s="150"/>
      <c r="L24" s="15" t="s">
        <v>34</v>
      </c>
      <c r="M24" s="161">
        <f>IFERROR(VLOOKUP(C22,'データ（触らない）'!$G$2:$P$20,10,FALSE),0)</f>
        <v>0</v>
      </c>
      <c r="N24" s="183"/>
      <c r="O24" s="15" t="s">
        <v>34</v>
      </c>
      <c r="P24" s="161"/>
    </row>
    <row r="25" spans="1:16" ht="25.95" customHeight="1" thickBot="1">
      <c r="A25" s="151"/>
      <c r="B25" s="62"/>
      <c r="C25" s="185"/>
      <c r="D25" s="185"/>
      <c r="E25" s="185"/>
      <c r="H25" s="150"/>
      <c r="L25" s="162" t="s">
        <v>246</v>
      </c>
      <c r="M25" s="163">
        <f>E28*300</f>
        <v>0</v>
      </c>
      <c r="N25" s="183"/>
      <c r="O25" s="162" t="s">
        <v>246</v>
      </c>
      <c r="P25" s="163">
        <f>E28*300</f>
        <v>0</v>
      </c>
    </row>
    <row r="26" spans="1:16" ht="25.95" customHeight="1" thickBot="1">
      <c r="A26" s="151"/>
      <c r="B26" s="62" t="s">
        <v>244</v>
      </c>
      <c r="C26" t="s">
        <v>221</v>
      </c>
      <c r="G26" s="155"/>
      <c r="H26" s="152"/>
      <c r="L26" s="164" t="s">
        <v>230</v>
      </c>
      <c r="M26" s="165">
        <f>SUM(M24:M25)</f>
        <v>0</v>
      </c>
      <c r="N26" s="183"/>
      <c r="O26" s="164" t="s">
        <v>230</v>
      </c>
      <c r="P26" s="165">
        <f>SUM(P24:P25)</f>
        <v>0</v>
      </c>
    </row>
    <row r="27" spans="1:16" ht="25.95" customHeight="1" thickBot="1">
      <c r="A27" s="151"/>
      <c r="C27" s="156" t="s">
        <v>38</v>
      </c>
      <c r="D27" s="157" t="s">
        <v>39</v>
      </c>
      <c r="E27" s="158" t="s">
        <v>40</v>
      </c>
      <c r="F27" s="160" t="s">
        <v>255</v>
      </c>
      <c r="G27" s="15" t="s">
        <v>257</v>
      </c>
      <c r="H27" s="150"/>
    </row>
    <row r="28" spans="1:16" ht="25.95" customHeight="1" thickTop="1" thickBot="1">
      <c r="A28" s="151"/>
      <c r="C28" s="189" t="s">
        <v>248</v>
      </c>
      <c r="D28" s="187" t="s">
        <v>245</v>
      </c>
      <c r="E28" s="188"/>
      <c r="F28" s="160" t="s">
        <v>256</v>
      </c>
      <c r="G28" s="15" t="s">
        <v>257</v>
      </c>
      <c r="H28" s="150"/>
    </row>
    <row r="29" spans="1:16" ht="30" customHeight="1" thickBot="1">
      <c r="A29" s="153"/>
      <c r="B29" s="154"/>
      <c r="C29" s="154"/>
      <c r="D29" s="154"/>
      <c r="E29" s="154"/>
      <c r="F29" s="154"/>
      <c r="G29" s="154"/>
      <c r="H29" s="70"/>
    </row>
    <row r="30" spans="1:16" ht="25.95" customHeight="1" thickBot="1">
      <c r="A30" s="148" t="s">
        <v>224</v>
      </c>
      <c r="B30" s="149"/>
      <c r="C30" s="149"/>
      <c r="D30" s="149"/>
      <c r="E30" s="149"/>
      <c r="F30" s="149"/>
      <c r="G30" s="149"/>
      <c r="H30" s="69"/>
    </row>
    <row r="31" spans="1:16" ht="25.95" customHeight="1" thickBot="1">
      <c r="A31" s="151"/>
      <c r="B31" s="159" t="s">
        <v>219</v>
      </c>
      <c r="C31" s="144"/>
      <c r="H31" s="150"/>
    </row>
    <row r="32" spans="1:16" ht="25.95" customHeight="1" thickBot="1">
      <c r="A32" s="151"/>
      <c r="B32" s="62" t="s">
        <v>220</v>
      </c>
      <c r="C32" s="145"/>
      <c r="H32" s="150"/>
      <c r="L32" s="62" t="s">
        <v>228</v>
      </c>
      <c r="O32" t="s">
        <v>241</v>
      </c>
      <c r="P32" t="s">
        <v>242</v>
      </c>
    </row>
    <row r="33" spans="1:16" ht="25.95" customHeight="1" thickBot="1">
      <c r="A33" s="151"/>
      <c r="B33" s="62" t="s">
        <v>239</v>
      </c>
      <c r="C33" t="s">
        <v>240</v>
      </c>
      <c r="H33" s="150"/>
      <c r="L33" t="s">
        <v>229</v>
      </c>
      <c r="O33" t="s">
        <v>229</v>
      </c>
    </row>
    <row r="34" spans="1:16" ht="25.95" customHeight="1" thickBot="1">
      <c r="A34" s="151"/>
      <c r="B34" s="62"/>
      <c r="C34" s="184" t="s">
        <v>236</v>
      </c>
      <c r="D34" s="184" t="s">
        <v>237</v>
      </c>
      <c r="E34" s="184" t="s">
        <v>238</v>
      </c>
      <c r="H34" s="150"/>
      <c r="L34" s="15" t="s">
        <v>34</v>
      </c>
      <c r="M34" s="161">
        <f>IFERROR(VLOOKUP(C32,'データ（触らない）'!$G$2:$P$20,10,FALSE),0)</f>
        <v>0</v>
      </c>
      <c r="N34" s="183"/>
      <c r="O34" s="15" t="s">
        <v>34</v>
      </c>
      <c r="P34" s="161"/>
    </row>
    <row r="35" spans="1:16" ht="25.95" customHeight="1" thickBot="1">
      <c r="A35" s="151"/>
      <c r="B35" s="62"/>
      <c r="C35" s="185"/>
      <c r="D35" s="185"/>
      <c r="E35" s="185"/>
      <c r="H35" s="150"/>
      <c r="L35" s="162" t="s">
        <v>246</v>
      </c>
      <c r="M35" s="163">
        <f>E38*300</f>
        <v>0</v>
      </c>
      <c r="N35" s="183"/>
      <c r="O35" s="162" t="s">
        <v>246</v>
      </c>
      <c r="P35" s="163">
        <f>E38*300</f>
        <v>0</v>
      </c>
    </row>
    <row r="36" spans="1:16" ht="25.95" customHeight="1" thickBot="1">
      <c r="A36" s="151"/>
      <c r="B36" s="62" t="s">
        <v>244</v>
      </c>
      <c r="C36" t="s">
        <v>221</v>
      </c>
      <c r="G36" s="155"/>
      <c r="H36" s="152"/>
      <c r="L36" s="164" t="s">
        <v>230</v>
      </c>
      <c r="M36" s="165">
        <f>SUM(M34:M35)</f>
        <v>0</v>
      </c>
      <c r="N36" s="183"/>
      <c r="O36" s="164" t="s">
        <v>230</v>
      </c>
      <c r="P36" s="165">
        <f>SUM(P34:P35)</f>
        <v>0</v>
      </c>
    </row>
    <row r="37" spans="1:16" ht="25.95" customHeight="1" thickBot="1">
      <c r="A37" s="151"/>
      <c r="C37" s="156" t="s">
        <v>38</v>
      </c>
      <c r="D37" s="157" t="s">
        <v>39</v>
      </c>
      <c r="E37" s="158" t="s">
        <v>40</v>
      </c>
      <c r="F37" s="160" t="s">
        <v>255</v>
      </c>
      <c r="G37" s="15" t="s">
        <v>257</v>
      </c>
      <c r="H37" s="150"/>
    </row>
    <row r="38" spans="1:16" ht="25.95" customHeight="1" thickTop="1" thickBot="1">
      <c r="A38" s="151"/>
      <c r="C38" s="189" t="s">
        <v>248</v>
      </c>
      <c r="D38" s="187" t="s">
        <v>245</v>
      </c>
      <c r="E38" s="188"/>
      <c r="F38" s="160" t="s">
        <v>256</v>
      </c>
      <c r="G38" s="15" t="s">
        <v>257</v>
      </c>
      <c r="H38" s="150"/>
    </row>
    <row r="39" spans="1:16" ht="30" customHeight="1" thickBot="1">
      <c r="A39" s="153"/>
      <c r="B39" s="154"/>
      <c r="C39" s="154"/>
      <c r="D39" s="154"/>
      <c r="E39" s="154"/>
      <c r="F39" s="154"/>
      <c r="G39" s="154"/>
      <c r="H39" s="70"/>
    </row>
    <row r="40" spans="1:16" ht="25.95" customHeight="1" thickBot="1">
      <c r="A40" s="148" t="s">
        <v>225</v>
      </c>
      <c r="B40" s="149"/>
      <c r="C40" s="149"/>
      <c r="D40" s="149"/>
      <c r="E40" s="149"/>
      <c r="F40" s="149"/>
      <c r="G40" s="149"/>
      <c r="H40" s="69"/>
    </row>
    <row r="41" spans="1:16" ht="25.95" customHeight="1" thickBot="1">
      <c r="A41" s="151"/>
      <c r="B41" s="159" t="s">
        <v>219</v>
      </c>
      <c r="C41" s="144"/>
      <c r="H41" s="150"/>
    </row>
    <row r="42" spans="1:16" ht="25.95" customHeight="1" thickBot="1">
      <c r="A42" s="151"/>
      <c r="B42" s="62" t="s">
        <v>220</v>
      </c>
      <c r="C42" s="145"/>
      <c r="H42" s="150"/>
      <c r="L42" s="62" t="s">
        <v>228</v>
      </c>
      <c r="O42" t="s">
        <v>241</v>
      </c>
      <c r="P42" t="s">
        <v>242</v>
      </c>
    </row>
    <row r="43" spans="1:16" ht="25.95" customHeight="1" thickBot="1">
      <c r="A43" s="151"/>
      <c r="B43" s="62" t="s">
        <v>239</v>
      </c>
      <c r="C43" t="s">
        <v>240</v>
      </c>
      <c r="H43" s="150"/>
      <c r="L43" t="s">
        <v>229</v>
      </c>
      <c r="O43" t="s">
        <v>229</v>
      </c>
    </row>
    <row r="44" spans="1:16" ht="25.95" customHeight="1" thickBot="1">
      <c r="A44" s="151"/>
      <c r="B44" s="62"/>
      <c r="C44" s="184" t="s">
        <v>236</v>
      </c>
      <c r="D44" s="184" t="s">
        <v>237</v>
      </c>
      <c r="E44" s="184" t="s">
        <v>238</v>
      </c>
      <c r="H44" s="150"/>
      <c r="L44" s="15" t="s">
        <v>34</v>
      </c>
      <c r="M44" s="161">
        <f>IFERROR(VLOOKUP(C42,'データ（触らない）'!$G$2:$P$20,10,FALSE),0)</f>
        <v>0</v>
      </c>
      <c r="N44" s="183"/>
      <c r="O44" s="15" t="s">
        <v>34</v>
      </c>
      <c r="P44" s="161"/>
    </row>
    <row r="45" spans="1:16" ht="25.95" customHeight="1" thickBot="1">
      <c r="A45" s="151"/>
      <c r="B45" s="62"/>
      <c r="C45" s="185"/>
      <c r="D45" s="185"/>
      <c r="E45" s="185"/>
      <c r="H45" s="150"/>
      <c r="L45" s="162" t="s">
        <v>246</v>
      </c>
      <c r="M45" s="163">
        <f>E48*300</f>
        <v>0</v>
      </c>
      <c r="N45" s="183"/>
      <c r="O45" s="162" t="s">
        <v>246</v>
      </c>
      <c r="P45" s="163">
        <f>E48*300</f>
        <v>0</v>
      </c>
    </row>
    <row r="46" spans="1:16" ht="25.95" customHeight="1" thickBot="1">
      <c r="A46" s="151"/>
      <c r="B46" s="62" t="s">
        <v>244</v>
      </c>
      <c r="C46" t="s">
        <v>221</v>
      </c>
      <c r="G46" s="155"/>
      <c r="H46" s="152"/>
      <c r="L46" s="164" t="s">
        <v>230</v>
      </c>
      <c r="M46" s="165">
        <f>SUM(M44:M45)</f>
        <v>0</v>
      </c>
      <c r="N46" s="183"/>
      <c r="O46" s="164" t="s">
        <v>230</v>
      </c>
      <c r="P46" s="165">
        <f>SUM(P44:P45)</f>
        <v>0</v>
      </c>
    </row>
    <row r="47" spans="1:16" ht="25.95" customHeight="1" thickBot="1">
      <c r="A47" s="151"/>
      <c r="C47" s="156" t="s">
        <v>38</v>
      </c>
      <c r="D47" s="157" t="s">
        <v>39</v>
      </c>
      <c r="E47" s="158" t="s">
        <v>40</v>
      </c>
      <c r="F47" s="160" t="s">
        <v>255</v>
      </c>
      <c r="G47" s="15" t="s">
        <v>257</v>
      </c>
      <c r="H47" s="150"/>
    </row>
    <row r="48" spans="1:16" ht="25.95" customHeight="1" thickTop="1" thickBot="1">
      <c r="A48" s="151"/>
      <c r="C48" s="189" t="s">
        <v>248</v>
      </c>
      <c r="D48" s="187" t="s">
        <v>245</v>
      </c>
      <c r="E48" s="188"/>
      <c r="F48" s="160" t="s">
        <v>256</v>
      </c>
      <c r="G48" s="15" t="s">
        <v>257</v>
      </c>
      <c r="H48" s="150"/>
    </row>
    <row r="49" spans="1:16" ht="30" customHeight="1" thickBot="1">
      <c r="A49" s="153"/>
      <c r="B49" s="154"/>
      <c r="C49" s="154"/>
      <c r="D49" s="154"/>
      <c r="E49" s="154"/>
      <c r="F49" s="154"/>
      <c r="G49" s="154"/>
      <c r="H49" s="70"/>
    </row>
    <row r="50" spans="1:16" ht="25.95" customHeight="1" thickBot="1">
      <c r="A50" s="148" t="s">
        <v>226</v>
      </c>
      <c r="B50" s="149"/>
      <c r="C50" s="149"/>
      <c r="D50" s="149"/>
      <c r="E50" s="149"/>
      <c r="F50" s="149"/>
      <c r="G50" s="149"/>
      <c r="H50" s="69"/>
    </row>
    <row r="51" spans="1:16" ht="25.95" customHeight="1" thickBot="1">
      <c r="A51" s="151"/>
      <c r="B51" s="159" t="s">
        <v>219</v>
      </c>
      <c r="C51" s="144"/>
      <c r="H51" s="150"/>
    </row>
    <row r="52" spans="1:16" ht="25.95" customHeight="1" thickBot="1">
      <c r="A52" s="151"/>
      <c r="B52" s="62" t="s">
        <v>220</v>
      </c>
      <c r="C52" s="145"/>
      <c r="H52" s="150"/>
      <c r="L52" s="62" t="s">
        <v>228</v>
      </c>
      <c r="O52" t="s">
        <v>241</v>
      </c>
      <c r="P52" t="s">
        <v>242</v>
      </c>
    </row>
    <row r="53" spans="1:16" ht="25.95" customHeight="1" thickBot="1">
      <c r="A53" s="151"/>
      <c r="B53" s="62" t="s">
        <v>239</v>
      </c>
      <c r="C53" t="s">
        <v>240</v>
      </c>
      <c r="H53" s="150"/>
      <c r="L53" t="s">
        <v>229</v>
      </c>
      <c r="O53" t="s">
        <v>229</v>
      </c>
    </row>
    <row r="54" spans="1:16" ht="25.95" customHeight="1" thickBot="1">
      <c r="A54" s="151"/>
      <c r="B54" s="62"/>
      <c r="C54" s="184" t="s">
        <v>236</v>
      </c>
      <c r="D54" s="184" t="s">
        <v>237</v>
      </c>
      <c r="E54" s="184" t="s">
        <v>238</v>
      </c>
      <c r="H54" s="150"/>
      <c r="L54" s="15" t="s">
        <v>34</v>
      </c>
      <c r="M54" s="161">
        <f>IFERROR(VLOOKUP(C52,'データ（触らない）'!$G$2:$P$20,10,FALSE),0)</f>
        <v>0</v>
      </c>
      <c r="N54" s="183"/>
      <c r="O54" s="15" t="s">
        <v>34</v>
      </c>
      <c r="P54" s="161"/>
    </row>
    <row r="55" spans="1:16" ht="25.95" customHeight="1" thickBot="1">
      <c r="A55" s="151"/>
      <c r="B55" s="62"/>
      <c r="C55" s="185"/>
      <c r="D55" s="185"/>
      <c r="E55" s="185"/>
      <c r="H55" s="150"/>
      <c r="L55" s="162" t="s">
        <v>246</v>
      </c>
      <c r="M55" s="163">
        <f>E58*300</f>
        <v>0</v>
      </c>
      <c r="N55" s="183"/>
      <c r="O55" s="162" t="s">
        <v>246</v>
      </c>
      <c r="P55" s="163">
        <f>E58*300</f>
        <v>0</v>
      </c>
    </row>
    <row r="56" spans="1:16" ht="25.95" customHeight="1" thickBot="1">
      <c r="A56" s="151"/>
      <c r="B56" s="62" t="s">
        <v>244</v>
      </c>
      <c r="C56" t="s">
        <v>221</v>
      </c>
      <c r="G56" s="155"/>
      <c r="H56" s="152"/>
      <c r="L56" s="164" t="s">
        <v>230</v>
      </c>
      <c r="M56" s="165">
        <f>SUM(M54:M55)</f>
        <v>0</v>
      </c>
      <c r="N56" s="183"/>
      <c r="O56" s="164" t="s">
        <v>230</v>
      </c>
      <c r="P56" s="165">
        <f>SUM(P54:P55)</f>
        <v>0</v>
      </c>
    </row>
    <row r="57" spans="1:16" ht="25.95" customHeight="1" thickBot="1">
      <c r="A57" s="151"/>
      <c r="C57" s="156" t="s">
        <v>38</v>
      </c>
      <c r="D57" s="157" t="s">
        <v>39</v>
      </c>
      <c r="E57" s="158" t="s">
        <v>40</v>
      </c>
      <c r="F57" s="160" t="s">
        <v>255</v>
      </c>
      <c r="G57" s="15" t="s">
        <v>257</v>
      </c>
      <c r="H57" s="150"/>
    </row>
    <row r="58" spans="1:16" ht="25.95" customHeight="1" thickTop="1" thickBot="1">
      <c r="A58" s="151"/>
      <c r="C58" s="189" t="s">
        <v>248</v>
      </c>
      <c r="D58" s="187" t="s">
        <v>245</v>
      </c>
      <c r="E58" s="188"/>
      <c r="F58" s="160" t="s">
        <v>256</v>
      </c>
      <c r="G58" s="15" t="s">
        <v>257</v>
      </c>
      <c r="H58" s="150"/>
    </row>
    <row r="59" spans="1:16" ht="30" customHeight="1" thickBot="1">
      <c r="A59" s="153"/>
      <c r="B59" s="154"/>
      <c r="C59" s="154"/>
      <c r="D59" s="154"/>
      <c r="E59" s="154"/>
      <c r="F59" s="154"/>
      <c r="G59" s="154"/>
      <c r="H59" s="70"/>
    </row>
    <row r="60" spans="1:16" ht="25.95" customHeight="1" thickBot="1">
      <c r="A60" s="148" t="s">
        <v>227</v>
      </c>
      <c r="B60" s="149"/>
      <c r="C60" s="149"/>
      <c r="D60" s="149"/>
      <c r="E60" s="149"/>
      <c r="F60" s="149"/>
      <c r="G60" s="149"/>
      <c r="H60" s="69"/>
    </row>
    <row r="61" spans="1:16" ht="25.95" customHeight="1" thickBot="1">
      <c r="A61" s="151"/>
      <c r="B61" s="159" t="s">
        <v>219</v>
      </c>
      <c r="C61" s="144"/>
      <c r="H61" s="150"/>
    </row>
    <row r="62" spans="1:16" ht="25.95" customHeight="1" thickBot="1">
      <c r="A62" s="151"/>
      <c r="B62" s="62" t="s">
        <v>220</v>
      </c>
      <c r="C62" s="145"/>
      <c r="H62" s="150"/>
      <c r="L62" s="62" t="s">
        <v>228</v>
      </c>
      <c r="O62" t="s">
        <v>241</v>
      </c>
      <c r="P62" t="s">
        <v>242</v>
      </c>
    </row>
    <row r="63" spans="1:16" ht="25.95" customHeight="1" thickBot="1">
      <c r="A63" s="151"/>
      <c r="B63" s="62" t="s">
        <v>239</v>
      </c>
      <c r="C63" t="s">
        <v>240</v>
      </c>
      <c r="H63" s="150"/>
      <c r="L63" t="s">
        <v>229</v>
      </c>
      <c r="O63" t="s">
        <v>229</v>
      </c>
    </row>
    <row r="64" spans="1:16" ht="25.95" customHeight="1" thickBot="1">
      <c r="A64" s="151"/>
      <c r="B64" s="62"/>
      <c r="C64" s="184" t="s">
        <v>236</v>
      </c>
      <c r="D64" s="184" t="s">
        <v>237</v>
      </c>
      <c r="E64" s="184" t="s">
        <v>238</v>
      </c>
      <c r="H64" s="150"/>
      <c r="L64" s="15" t="s">
        <v>34</v>
      </c>
      <c r="M64" s="161">
        <f>IFERROR(VLOOKUP(C62,'データ（触らない）'!$G$2:$P$20,10,FALSE),0)</f>
        <v>0</v>
      </c>
      <c r="N64" s="183"/>
      <c r="O64" s="15" t="s">
        <v>34</v>
      </c>
      <c r="P64" s="161"/>
    </row>
    <row r="65" spans="1:16" ht="25.95" customHeight="1" thickBot="1">
      <c r="A65" s="151"/>
      <c r="B65" s="62"/>
      <c r="C65" s="185"/>
      <c r="D65" s="185"/>
      <c r="E65" s="185"/>
      <c r="H65" s="150"/>
      <c r="L65" s="162" t="s">
        <v>246</v>
      </c>
      <c r="M65" s="163">
        <f>E68*300</f>
        <v>0</v>
      </c>
      <c r="N65" s="183"/>
      <c r="O65" s="162" t="s">
        <v>246</v>
      </c>
      <c r="P65" s="163">
        <f>E68*300</f>
        <v>0</v>
      </c>
    </row>
    <row r="66" spans="1:16" ht="25.95" customHeight="1" thickBot="1">
      <c r="A66" s="151"/>
      <c r="B66" s="62" t="s">
        <v>244</v>
      </c>
      <c r="C66" t="s">
        <v>221</v>
      </c>
      <c r="G66" s="155"/>
      <c r="H66" s="152"/>
      <c r="L66" s="164" t="s">
        <v>230</v>
      </c>
      <c r="M66" s="165">
        <f>SUM(M64:M65)</f>
        <v>0</v>
      </c>
      <c r="N66" s="183"/>
      <c r="O66" s="164" t="s">
        <v>230</v>
      </c>
      <c r="P66" s="165">
        <f>SUM(P64:P65)</f>
        <v>0</v>
      </c>
    </row>
    <row r="67" spans="1:16" ht="25.95" customHeight="1" thickBot="1">
      <c r="A67" s="151"/>
      <c r="C67" s="156" t="s">
        <v>38</v>
      </c>
      <c r="D67" s="157" t="s">
        <v>39</v>
      </c>
      <c r="E67" s="158" t="s">
        <v>40</v>
      </c>
      <c r="F67" s="160" t="s">
        <v>255</v>
      </c>
      <c r="G67" s="15" t="s">
        <v>257</v>
      </c>
      <c r="H67" s="150"/>
    </row>
    <row r="68" spans="1:16" ht="25.95" customHeight="1" thickTop="1" thickBot="1">
      <c r="A68" s="151"/>
      <c r="C68" s="189" t="s">
        <v>248</v>
      </c>
      <c r="D68" s="187" t="s">
        <v>245</v>
      </c>
      <c r="E68" s="188"/>
      <c r="F68" s="160" t="s">
        <v>256</v>
      </c>
      <c r="G68" s="15" t="s">
        <v>257</v>
      </c>
      <c r="H68" s="150"/>
    </row>
    <row r="69" spans="1:16" ht="30" customHeight="1" thickBot="1">
      <c r="A69" s="153"/>
      <c r="B69" s="154"/>
      <c r="C69" s="154"/>
      <c r="D69" s="154"/>
      <c r="E69" s="154"/>
      <c r="F69" s="154"/>
      <c r="G69" s="154"/>
      <c r="H69" s="70"/>
    </row>
  </sheetData>
  <sheetProtection selectLockedCells="1"/>
  <mergeCells count="13">
    <mergeCell ref="C17:F17"/>
    <mergeCell ref="C2:F2"/>
    <mergeCell ref="B12:B13"/>
    <mergeCell ref="C4:F4"/>
    <mergeCell ref="C16:F16"/>
    <mergeCell ref="C15:F15"/>
    <mergeCell ref="C11:F11"/>
    <mergeCell ref="C3:F3"/>
    <mergeCell ref="C5:F5"/>
    <mergeCell ref="C7:F7"/>
    <mergeCell ref="C8:F8"/>
    <mergeCell ref="C10:F10"/>
    <mergeCell ref="C6:F6"/>
  </mergeCells>
  <phoneticPr fontId="2"/>
  <conditionalFormatting sqref="C21">
    <cfRule type="expression" dxfId="42" priority="1">
      <formula>$C$21=DATE(1900,1,0)</formula>
    </cfRule>
  </conditionalFormatting>
  <dataValidations count="1">
    <dataValidation type="whole" operator="greaterThan" allowBlank="1" showInputMessage="1" showErrorMessage="1" sqref="E28 E38 E48 E58 E68" xr:uid="{766B0EB1-2C7A-46DD-850E-931C85067607}">
      <formula1>0</formula1>
    </dataValidation>
  </dataValidations>
  <pageMargins left="0.69" right="0.35" top="0.97" bottom="0.75" header="0.3" footer="0.3"/>
  <pageSetup paperSize="9" scale="62" orientation="portrait" r:id="rId1"/>
  <rowBreaks count="1" manualBreakCount="1">
    <brk id="39" max="7" man="1"/>
  </rowBreaks>
  <extLst>
    <ext xmlns:x14="http://schemas.microsoft.com/office/spreadsheetml/2009/9/main" uri="{CCE6A557-97BC-4b89-ADB6-D9C93CAAB3DF}">
      <x14:dataValidations xmlns:xm="http://schemas.microsoft.com/office/excel/2006/main" count="3">
        <x14:dataValidation type="list" allowBlank="1" showInputMessage="1" showErrorMessage="1" xr:uid="{D386E33B-6ABB-4C8F-ABF1-611B70A9B39B}">
          <x14:formula1>
            <xm:f>'データ（触らない）'!$C$2:$C$4</xm:f>
          </x14:formula1>
          <xm:sqref>C16:F16</xm:sqref>
        </x14:dataValidation>
        <x14:dataValidation type="list" allowBlank="1" showInputMessage="1" showErrorMessage="1" xr:uid="{79FB236E-8F51-4AA4-9321-7492ED6C5D24}">
          <x14:formula1>
            <xm:f>'データ（触らない）'!$D$3:$D$4</xm:f>
          </x14:formula1>
          <xm:sqref>C25:E25 C35:E35 C45:E45 C55:E55 C65:E65</xm:sqref>
        </x14:dataValidation>
        <x14:dataValidation type="list" allowBlank="1" showInputMessage="1" showErrorMessage="1" xr:uid="{314A854D-38CE-4DA1-BA39-DA8D21945D48}">
          <x14:formula1>
            <xm:f>'データ（触らない）'!$G$2:$G$21</xm:f>
          </x14:formula1>
          <xm:sqref>C22 C32 C42 C52 C62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3BA14-CE38-41F9-BB5F-D536B9CE2D49}">
  <sheetPr>
    <tabColor rgb="FF00B0F0"/>
  </sheetPr>
  <dimension ref="A1:K31"/>
  <sheetViews>
    <sheetView view="pageBreakPreview" zoomScale="85" zoomScaleNormal="55" zoomScaleSheetLayoutView="85" workbookViewId="0">
      <selection activeCell="A2" sqref="A2:K2"/>
    </sheetView>
  </sheetViews>
  <sheetFormatPr defaultColWidth="8.19921875" defaultRowHeight="20.100000000000001" customHeight="1"/>
  <cols>
    <col min="1" max="2" width="3.19921875" style="72" customWidth="1"/>
    <col min="3" max="3" width="18.796875" style="72" customWidth="1"/>
    <col min="4" max="4" width="6.8984375" style="72" customWidth="1"/>
    <col min="5" max="5" width="5.09765625" style="72" customWidth="1"/>
    <col min="6" max="6" width="6.8984375" style="72" customWidth="1"/>
    <col min="7" max="7" width="2.296875" style="72" customWidth="1"/>
    <col min="8" max="8" width="6.8984375" style="72" customWidth="1"/>
    <col min="9" max="9" width="5.09765625" style="72" customWidth="1"/>
    <col min="10" max="10" width="8.69921875" style="72" customWidth="1"/>
    <col min="11" max="11" width="11.5" style="72" customWidth="1"/>
    <col min="12" max="16384" width="8.19921875" style="72"/>
  </cols>
  <sheetData>
    <row r="1" spans="1:11" ht="20.100000000000001" customHeight="1">
      <c r="J1" s="239">
        <v>45931</v>
      </c>
      <c r="K1" s="239"/>
    </row>
    <row r="2" spans="1:11" ht="25.05" customHeight="1">
      <c r="A2" s="240" t="s">
        <v>191</v>
      </c>
      <c r="B2" s="240"/>
      <c r="C2" s="240"/>
      <c r="D2" s="240"/>
      <c r="E2" s="240"/>
      <c r="F2" s="240"/>
      <c r="G2" s="240"/>
      <c r="H2" s="240"/>
      <c r="I2" s="240"/>
      <c r="J2" s="240"/>
      <c r="K2" s="240"/>
    </row>
    <row r="3" spans="1:11" ht="25.05" customHeight="1">
      <c r="B3" s="73"/>
      <c r="C3" s="241" t="str">
        <f>'【通常】様式第１号(申請書)※入力不要'!E8</f>
        <v>■■■■株式会社</v>
      </c>
      <c r="D3" s="241"/>
      <c r="E3" s="241"/>
      <c r="F3" s="241"/>
      <c r="G3" s="241"/>
      <c r="H3" s="74" t="s">
        <v>192</v>
      </c>
      <c r="I3" s="75"/>
      <c r="J3" s="75"/>
      <c r="K3" s="75"/>
    </row>
    <row r="4" spans="1:11" ht="50.1" customHeight="1" thickBot="1"/>
    <row r="5" spans="1:11" ht="25.05" customHeight="1" thickBot="1">
      <c r="B5" s="76"/>
      <c r="C5" s="77" t="s">
        <v>193</v>
      </c>
      <c r="D5" s="242">
        <f>'【通常】様式第１号(申請書)※入力不要'!G24</f>
        <v>0</v>
      </c>
      <c r="E5" s="243"/>
      <c r="F5" s="244"/>
      <c r="G5" s="78" t="s">
        <v>194</v>
      </c>
      <c r="H5" s="79"/>
    </row>
    <row r="6" spans="1:11" ht="3" customHeight="1">
      <c r="B6" s="75"/>
      <c r="C6" s="80"/>
      <c r="D6" s="81"/>
      <c r="E6" s="81"/>
      <c r="F6" s="81"/>
      <c r="G6" s="81"/>
    </row>
    <row r="7" spans="1:11" ht="25.05" customHeight="1">
      <c r="B7" s="82"/>
      <c r="C7" s="83" t="s">
        <v>195</v>
      </c>
      <c r="D7" s="245"/>
      <c r="E7" s="246"/>
      <c r="F7" s="247"/>
      <c r="G7" s="84"/>
    </row>
    <row r="8" spans="1:11" ht="30" customHeight="1">
      <c r="B8" s="85"/>
      <c r="C8" s="85"/>
    </row>
    <row r="9" spans="1:11" ht="25.05" customHeight="1">
      <c r="B9" s="82"/>
      <c r="C9" s="176" t="s">
        <v>196</v>
      </c>
      <c r="D9" s="233">
        <f>'【通常】様式第１号(申請書)※入力不要'!E17</f>
        <v>0</v>
      </c>
      <c r="E9" s="234"/>
      <c r="F9" s="234"/>
      <c r="G9" s="235" t="s">
        <v>231</v>
      </c>
      <c r="H9" s="235"/>
      <c r="I9" s="234">
        <f>'【通常】様式第１号(申請書)※入力不要'!E18</f>
        <v>0</v>
      </c>
      <c r="J9" s="234"/>
      <c r="K9" s="177" t="s">
        <v>232</v>
      </c>
    </row>
    <row r="10" spans="1:11" ht="25.05" customHeight="1">
      <c r="B10" s="82"/>
      <c r="C10" s="83" t="s">
        <v>197</v>
      </c>
      <c r="D10" s="251" t="str">
        <f>'【通常】様式第１号(申請書)※入力不要'!B15</f>
        <v>●●イベント</v>
      </c>
      <c r="E10" s="251"/>
      <c r="F10" s="251"/>
      <c r="G10" s="251"/>
      <c r="H10" s="251"/>
      <c r="I10" s="251"/>
      <c r="J10" s="251"/>
      <c r="K10" s="251"/>
    </row>
    <row r="11" spans="1:11" ht="10.050000000000001" customHeight="1"/>
    <row r="12" spans="1:11" ht="25.05" customHeight="1">
      <c r="B12" s="86" t="s">
        <v>198</v>
      </c>
      <c r="C12" s="86" t="s">
        <v>199</v>
      </c>
      <c r="D12" s="252" t="s">
        <v>196</v>
      </c>
      <c r="E12" s="253"/>
      <c r="F12" s="252" t="s">
        <v>200</v>
      </c>
      <c r="G12" s="254"/>
      <c r="H12" s="253"/>
      <c r="I12" s="86" t="s">
        <v>201</v>
      </c>
      <c r="J12" s="86" t="s">
        <v>202</v>
      </c>
      <c r="K12" s="86" t="s">
        <v>203</v>
      </c>
    </row>
    <row r="13" spans="1:11" ht="25.05" customHeight="1">
      <c r="B13" s="87">
        <v>1</v>
      </c>
      <c r="C13" s="236" t="s">
        <v>214</v>
      </c>
      <c r="D13" s="237"/>
      <c r="E13" s="237"/>
      <c r="F13" s="237"/>
      <c r="G13" s="237"/>
      <c r="H13" s="237"/>
      <c r="I13" s="237"/>
      <c r="J13" s="237"/>
      <c r="K13" s="238"/>
    </row>
    <row r="14" spans="1:11" ht="25.05" customHeight="1">
      <c r="B14" s="88">
        <v>2</v>
      </c>
      <c r="C14" s="89"/>
      <c r="D14" s="90"/>
      <c r="E14" s="91"/>
      <c r="F14" s="248"/>
      <c r="G14" s="249"/>
      <c r="H14" s="250"/>
      <c r="I14" s="92"/>
      <c r="J14" s="93"/>
      <c r="K14" s="94"/>
    </row>
    <row r="15" spans="1:11" ht="25.05" customHeight="1">
      <c r="B15" s="88">
        <v>3</v>
      </c>
      <c r="C15" s="89"/>
      <c r="D15" s="90"/>
      <c r="E15" s="91"/>
      <c r="F15" s="248"/>
      <c r="G15" s="249"/>
      <c r="H15" s="250"/>
      <c r="I15" s="92"/>
      <c r="J15" s="93"/>
      <c r="K15" s="94"/>
    </row>
    <row r="16" spans="1:11" ht="25.05" customHeight="1">
      <c r="B16" s="88">
        <v>4</v>
      </c>
      <c r="C16" s="89"/>
      <c r="D16" s="90"/>
      <c r="E16" s="91"/>
      <c r="F16" s="248"/>
      <c r="G16" s="249"/>
      <c r="H16" s="250"/>
      <c r="I16" s="92"/>
      <c r="J16" s="93"/>
      <c r="K16" s="94"/>
    </row>
    <row r="17" spans="2:11" ht="25.05" customHeight="1">
      <c r="B17" s="88">
        <v>5</v>
      </c>
      <c r="C17" s="89"/>
      <c r="D17" s="90"/>
      <c r="E17" s="91"/>
      <c r="F17" s="248"/>
      <c r="G17" s="249"/>
      <c r="H17" s="250"/>
      <c r="I17" s="92"/>
      <c r="J17" s="93"/>
      <c r="K17" s="94"/>
    </row>
    <row r="18" spans="2:11" ht="25.05" customHeight="1">
      <c r="B18" s="88">
        <v>6</v>
      </c>
      <c r="C18" s="89"/>
      <c r="D18" s="90"/>
      <c r="E18" s="91"/>
      <c r="F18" s="248"/>
      <c r="G18" s="249"/>
      <c r="H18" s="250"/>
      <c r="I18" s="92"/>
      <c r="J18" s="93"/>
      <c r="K18" s="94"/>
    </row>
    <row r="19" spans="2:11" ht="25.05" customHeight="1">
      <c r="B19" s="88">
        <v>7</v>
      </c>
      <c r="C19" s="89"/>
      <c r="D19" s="90"/>
      <c r="E19" s="91"/>
      <c r="F19" s="248"/>
      <c r="G19" s="249"/>
      <c r="H19" s="250"/>
      <c r="I19" s="92"/>
      <c r="J19" s="93"/>
      <c r="K19" s="94"/>
    </row>
    <row r="20" spans="2:11" ht="25.05" customHeight="1">
      <c r="B20" s="88">
        <v>8</v>
      </c>
      <c r="C20" s="89"/>
      <c r="D20" s="90"/>
      <c r="E20" s="91"/>
      <c r="F20" s="248"/>
      <c r="G20" s="249"/>
      <c r="H20" s="250"/>
      <c r="I20" s="92"/>
      <c r="J20" s="93"/>
      <c r="K20" s="94"/>
    </row>
    <row r="21" spans="2:11" ht="25.05" customHeight="1">
      <c r="B21" s="88">
        <v>9</v>
      </c>
      <c r="C21" s="89"/>
      <c r="D21" s="90"/>
      <c r="E21" s="91"/>
      <c r="F21" s="248"/>
      <c r="G21" s="249"/>
      <c r="H21" s="250"/>
      <c r="I21" s="92"/>
      <c r="J21" s="93"/>
      <c r="K21" s="94"/>
    </row>
    <row r="22" spans="2:11" ht="25.05" customHeight="1" thickBot="1">
      <c r="B22" s="75" t="s">
        <v>204</v>
      </c>
      <c r="C22" s="96"/>
      <c r="D22" s="97"/>
      <c r="E22" s="98"/>
      <c r="F22" s="99"/>
      <c r="G22" s="100"/>
      <c r="H22" s="101"/>
      <c r="I22" s="102" t="s">
        <v>205</v>
      </c>
      <c r="J22" s="103"/>
      <c r="K22" s="104">
        <f>D5</f>
        <v>0</v>
      </c>
    </row>
    <row r="23" spans="2:11" ht="25.05" customHeight="1">
      <c r="B23" s="105"/>
      <c r="C23" s="106"/>
      <c r="D23" s="107"/>
      <c r="E23" s="108"/>
      <c r="F23" s="99"/>
      <c r="G23" s="109"/>
      <c r="H23" s="110" t="s">
        <v>206</v>
      </c>
      <c r="I23" s="111"/>
      <c r="J23" s="112">
        <v>0.1</v>
      </c>
      <c r="K23" s="95">
        <f>ROUNDDOWN($K$22/(1+$J$23)*$J$23,0)</f>
        <v>0</v>
      </c>
    </row>
    <row r="24" spans="2:11" ht="25.05" customHeight="1">
      <c r="B24" s="105"/>
      <c r="C24" s="113"/>
      <c r="D24" s="114"/>
      <c r="E24" s="115"/>
      <c r="F24" s="75"/>
      <c r="G24" s="116"/>
      <c r="H24" s="117" t="s">
        <v>206</v>
      </c>
      <c r="I24" s="118"/>
      <c r="J24" s="119">
        <v>0.08</v>
      </c>
      <c r="K24" s="95"/>
    </row>
    <row r="25" spans="2:11" ht="10.050000000000001" customHeight="1" thickBot="1">
      <c r="C25" s="120"/>
      <c r="D25" s="121"/>
      <c r="E25" s="122"/>
      <c r="G25" s="123"/>
    </row>
    <row r="26" spans="2:11" ht="22.05" customHeight="1">
      <c r="E26" s="124" t="s">
        <v>207</v>
      </c>
      <c r="G26" s="75"/>
    </row>
    <row r="27" spans="2:11" ht="15" customHeight="1">
      <c r="B27" s="125" t="s">
        <v>208</v>
      </c>
      <c r="C27" s="73"/>
      <c r="D27" s="125"/>
      <c r="E27" s="125"/>
      <c r="F27" s="125"/>
      <c r="G27" s="73"/>
      <c r="H27" s="125"/>
      <c r="I27" s="73"/>
      <c r="J27" s="125"/>
      <c r="K27" s="125"/>
    </row>
    <row r="28" spans="2:11" ht="15" customHeight="1">
      <c r="B28" s="126" t="s">
        <v>209</v>
      </c>
      <c r="C28" s="127" t="s">
        <v>210</v>
      </c>
      <c r="G28" s="75"/>
      <c r="I28" s="128"/>
      <c r="K28" s="129"/>
    </row>
    <row r="29" spans="2:11" ht="15" customHeight="1">
      <c r="B29" s="126" t="s">
        <v>209</v>
      </c>
      <c r="C29" s="127" t="s">
        <v>211</v>
      </c>
      <c r="G29" s="75"/>
      <c r="I29" s="128"/>
      <c r="K29" s="129"/>
    </row>
    <row r="30" spans="2:11" ht="15" customHeight="1">
      <c r="B30" s="126" t="s">
        <v>209</v>
      </c>
      <c r="C30" s="127" t="s">
        <v>212</v>
      </c>
      <c r="G30" s="75"/>
      <c r="I30" s="75"/>
      <c r="K30" s="129"/>
    </row>
    <row r="31" spans="2:11" ht="15" customHeight="1">
      <c r="B31" s="130" t="s">
        <v>209</v>
      </c>
      <c r="C31" s="131" t="s">
        <v>213</v>
      </c>
      <c r="D31" s="125"/>
      <c r="E31" s="125"/>
      <c r="F31" s="125"/>
      <c r="G31" s="132"/>
      <c r="H31" s="125"/>
      <c r="I31" s="125"/>
      <c r="J31" s="125"/>
      <c r="K31" s="133"/>
    </row>
  </sheetData>
  <sheetProtection algorithmName="SHA-512" hashValue="XNpH/fHT9Hjamtg/s/TnJjWk1gtD+ONqVr/XGL3QOV3ZZYjh0YqyIP6JETeIGb9A2LZzyzdbgMJ/pjTA6uuCaA==" saltValue="qLAhIcNH2/PgTfqHDjqFiw==" spinCount="100000" sheet="1" objects="1" scenarios="1"/>
  <mergeCells count="20">
    <mergeCell ref="F21:H21"/>
    <mergeCell ref="D10:K10"/>
    <mergeCell ref="D12:E12"/>
    <mergeCell ref="F12:H12"/>
    <mergeCell ref="F14:H14"/>
    <mergeCell ref="F15:H15"/>
    <mergeCell ref="F16:H16"/>
    <mergeCell ref="F17:H17"/>
    <mergeCell ref="F18:H18"/>
    <mergeCell ref="F19:H19"/>
    <mergeCell ref="F20:H20"/>
    <mergeCell ref="D9:F9"/>
    <mergeCell ref="I9:J9"/>
    <mergeCell ref="G9:H9"/>
    <mergeCell ref="C13:K13"/>
    <mergeCell ref="J1:K1"/>
    <mergeCell ref="A2:K2"/>
    <mergeCell ref="C3:G3"/>
    <mergeCell ref="D5:F5"/>
    <mergeCell ref="D7:F7"/>
  </mergeCells>
  <phoneticPr fontId="2"/>
  <conditionalFormatting sqref="D9:F9">
    <cfRule type="expression" dxfId="41" priority="2">
      <formula>$D$9=DATE(1900,1,0)</formula>
    </cfRule>
  </conditionalFormatting>
  <conditionalFormatting sqref="I9:J9">
    <cfRule type="expression" dxfId="40" priority="1">
      <formula>$I$9=DATE(1900,1,0)</formula>
    </cfRule>
  </conditionalFormatting>
  <pageMargins left="0.70866141732283472" right="0.70866141732283472" top="0.74803149606299213" bottom="0.74803149606299213" header="0.31496062992125984" footer="0.31496062992125984"/>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7177F-C5D2-49DE-A4DB-ABB9C72098CF}">
  <sheetPr>
    <tabColor rgb="FF00B0F0"/>
    <pageSetUpPr fitToPage="1"/>
  </sheetPr>
  <dimension ref="A1:AQ30"/>
  <sheetViews>
    <sheetView showGridLines="0" view="pageBreakPreview" zoomScale="70" zoomScaleNormal="100" zoomScaleSheetLayoutView="70" workbookViewId="0">
      <selection activeCell="B3" sqref="B3"/>
    </sheetView>
  </sheetViews>
  <sheetFormatPr defaultColWidth="7.3984375" defaultRowHeight="21.9" customHeight="1"/>
  <cols>
    <col min="1" max="1" width="3.69921875" customWidth="1"/>
    <col min="2" max="2" width="33.3984375" bestFit="1" customWidth="1"/>
    <col min="3" max="3" width="13.3984375" customWidth="1"/>
    <col min="4" max="4" width="14.3984375" customWidth="1"/>
    <col min="5" max="5" width="11.19921875" customWidth="1"/>
    <col min="6" max="6" width="10.69921875" bestFit="1" customWidth="1"/>
    <col min="7" max="7" width="4.09765625" style="18" customWidth="1"/>
    <col min="8" max="8" width="9.59765625" bestFit="1" customWidth="1"/>
  </cols>
  <sheetData>
    <row r="1" spans="1:43" ht="21.9" customHeight="1">
      <c r="B1" t="s">
        <v>190</v>
      </c>
    </row>
    <row r="2" spans="1:43" ht="21.9" customHeight="1">
      <c r="B2" s="66" t="s">
        <v>179</v>
      </c>
      <c r="C2" s="71" t="s">
        <v>178</v>
      </c>
      <c r="D2" s="258" t="s">
        <v>243</v>
      </c>
      <c r="E2" s="259"/>
      <c r="F2" s="18"/>
      <c r="G2"/>
    </row>
    <row r="3" spans="1:43" ht="21.9" customHeight="1">
      <c r="B3" s="190">
        <f>【入力様式】イベント広場!C21</f>
        <v>0</v>
      </c>
      <c r="C3" s="186">
        <f>【入力様式】イベント広場!C22</f>
        <v>0</v>
      </c>
      <c r="D3" s="65">
        <f>【入力様式】イベント広場!M24</f>
        <v>0</v>
      </c>
      <c r="E3" s="61" t="s">
        <v>163</v>
      </c>
      <c r="F3" s="18"/>
      <c r="G3"/>
    </row>
    <row r="4" spans="1:43" s="18" customFormat="1" ht="21.9" customHeight="1">
      <c r="A4"/>
      <c r="B4" s="191">
        <f>【入力様式】イベント広場!C31</f>
        <v>0</v>
      </c>
      <c r="C4" s="32">
        <f>【入力様式】イベント広場!C32</f>
        <v>0</v>
      </c>
      <c r="D4" s="178">
        <f>【入力様式】イベント広場!M34</f>
        <v>0</v>
      </c>
      <c r="E4" s="160" t="s">
        <v>163</v>
      </c>
      <c r="G4"/>
      <c r="H4"/>
      <c r="I4"/>
      <c r="J4"/>
      <c r="K4"/>
      <c r="L4"/>
      <c r="M4"/>
      <c r="N4"/>
      <c r="O4"/>
      <c r="P4"/>
      <c r="Q4"/>
      <c r="R4"/>
      <c r="S4"/>
      <c r="T4"/>
      <c r="U4"/>
      <c r="V4"/>
      <c r="W4"/>
      <c r="X4"/>
      <c r="Y4"/>
      <c r="Z4"/>
      <c r="AA4"/>
      <c r="AB4"/>
      <c r="AC4"/>
      <c r="AD4"/>
      <c r="AE4"/>
      <c r="AF4"/>
      <c r="AG4"/>
      <c r="AH4"/>
      <c r="AI4"/>
      <c r="AJ4"/>
      <c r="AK4"/>
      <c r="AL4"/>
      <c r="AM4"/>
      <c r="AN4"/>
      <c r="AO4"/>
      <c r="AP4"/>
    </row>
    <row r="5" spans="1:43" s="18" customFormat="1" ht="21.9" customHeight="1">
      <c r="A5"/>
      <c r="B5" s="190">
        <f>【入力様式】イベント広場!C41</f>
        <v>0</v>
      </c>
      <c r="C5" s="181">
        <f>【入力様式】イベント広場!C42</f>
        <v>0</v>
      </c>
      <c r="D5" s="68">
        <f>【入力様式】イベント広場!M44</f>
        <v>0</v>
      </c>
      <c r="E5" s="61" t="s">
        <v>163</v>
      </c>
      <c r="G5"/>
      <c r="H5"/>
      <c r="I5"/>
      <c r="J5"/>
      <c r="K5"/>
      <c r="L5"/>
      <c r="M5"/>
      <c r="N5"/>
      <c r="O5"/>
      <c r="P5"/>
      <c r="Q5"/>
      <c r="R5"/>
      <c r="S5"/>
      <c r="T5"/>
      <c r="U5"/>
      <c r="V5"/>
      <c r="W5"/>
      <c r="X5"/>
      <c r="Y5"/>
      <c r="Z5"/>
      <c r="AA5"/>
      <c r="AB5"/>
      <c r="AC5"/>
      <c r="AD5"/>
      <c r="AE5"/>
      <c r="AF5"/>
      <c r="AG5"/>
      <c r="AH5"/>
      <c r="AI5"/>
      <c r="AJ5"/>
      <c r="AK5"/>
      <c r="AL5"/>
      <c r="AM5"/>
      <c r="AN5"/>
      <c r="AO5"/>
      <c r="AP5"/>
    </row>
    <row r="6" spans="1:43" s="18" customFormat="1" ht="21.9" customHeight="1">
      <c r="A6"/>
      <c r="B6" s="191">
        <f>【入力様式】イベント広場!C51</f>
        <v>0</v>
      </c>
      <c r="C6" s="32">
        <f>【入力様式】イベント広場!C52</f>
        <v>0</v>
      </c>
      <c r="D6" s="178">
        <f>【入力様式】イベント広場!M54</f>
        <v>0</v>
      </c>
      <c r="E6" s="160" t="s">
        <v>163</v>
      </c>
      <c r="G6"/>
      <c r="H6"/>
      <c r="I6"/>
      <c r="J6"/>
      <c r="K6"/>
      <c r="L6"/>
      <c r="M6"/>
      <c r="N6"/>
      <c r="O6"/>
      <c r="P6"/>
      <c r="Q6"/>
      <c r="R6"/>
      <c r="S6"/>
      <c r="T6"/>
      <c r="U6"/>
      <c r="V6"/>
      <c r="W6"/>
      <c r="X6"/>
      <c r="Y6"/>
      <c r="Z6"/>
      <c r="AA6"/>
      <c r="AB6"/>
      <c r="AC6"/>
      <c r="AD6"/>
      <c r="AE6"/>
      <c r="AF6"/>
      <c r="AG6"/>
      <c r="AH6"/>
      <c r="AI6"/>
      <c r="AJ6"/>
      <c r="AK6"/>
      <c r="AL6"/>
      <c r="AM6"/>
      <c r="AN6"/>
      <c r="AO6"/>
      <c r="AP6"/>
    </row>
    <row r="7" spans="1:43" s="18" customFormat="1" ht="21.9" customHeight="1" thickBot="1">
      <c r="A7"/>
      <c r="B7" s="190">
        <f>【入力様式】イベント広場!C61</f>
        <v>0</v>
      </c>
      <c r="C7" s="181">
        <f>【入力様式】イベント広場!C62</f>
        <v>0</v>
      </c>
      <c r="D7" s="68">
        <f>【入力様式】イベント広場!M64</f>
        <v>0</v>
      </c>
      <c r="E7" s="61" t="s">
        <v>163</v>
      </c>
      <c r="G7"/>
      <c r="H7"/>
      <c r="I7"/>
      <c r="J7"/>
      <c r="K7"/>
      <c r="L7"/>
      <c r="M7"/>
      <c r="N7"/>
      <c r="O7"/>
      <c r="P7"/>
      <c r="Q7"/>
      <c r="R7"/>
      <c r="S7"/>
      <c r="T7"/>
      <c r="U7"/>
      <c r="V7"/>
      <c r="W7"/>
      <c r="X7"/>
      <c r="Y7"/>
      <c r="Z7"/>
      <c r="AA7"/>
      <c r="AB7"/>
      <c r="AC7"/>
      <c r="AD7"/>
      <c r="AE7"/>
      <c r="AF7"/>
      <c r="AG7"/>
      <c r="AH7"/>
      <c r="AI7"/>
      <c r="AJ7"/>
      <c r="AK7"/>
      <c r="AL7"/>
      <c r="AM7"/>
      <c r="AN7"/>
      <c r="AO7"/>
      <c r="AP7"/>
    </row>
    <row r="8" spans="1:43" s="18" customFormat="1" ht="21.9" customHeight="1" thickBot="1">
      <c r="A8"/>
      <c r="B8" s="255" t="s">
        <v>54</v>
      </c>
      <c r="C8" s="257"/>
      <c r="D8" s="179">
        <f>SUM(D3,D4,D5,D6,D7)</f>
        <v>0</v>
      </c>
      <c r="E8" s="180" t="s">
        <v>163</v>
      </c>
      <c r="G8"/>
      <c r="H8"/>
      <c r="I8"/>
      <c r="J8"/>
      <c r="K8"/>
      <c r="L8"/>
      <c r="M8"/>
      <c r="N8"/>
      <c r="O8"/>
      <c r="P8"/>
      <c r="Q8"/>
      <c r="R8"/>
      <c r="S8"/>
      <c r="T8"/>
      <c r="U8"/>
      <c r="V8"/>
      <c r="W8"/>
      <c r="X8"/>
      <c r="Y8"/>
      <c r="Z8"/>
      <c r="AA8"/>
      <c r="AB8"/>
      <c r="AC8"/>
      <c r="AD8"/>
      <c r="AE8"/>
      <c r="AF8"/>
      <c r="AG8"/>
      <c r="AH8"/>
      <c r="AI8"/>
      <c r="AJ8"/>
      <c r="AK8"/>
      <c r="AL8"/>
      <c r="AM8"/>
      <c r="AN8"/>
      <c r="AO8"/>
      <c r="AP8"/>
    </row>
    <row r="10" spans="1:43" s="18" customFormat="1" ht="21.9" customHeight="1">
      <c r="A10"/>
      <c r="B10" s="66" t="s">
        <v>181</v>
      </c>
      <c r="C10" s="66" t="s">
        <v>61</v>
      </c>
      <c r="D10" s="66" t="s">
        <v>176</v>
      </c>
      <c r="E10" s="66" t="s">
        <v>177</v>
      </c>
      <c r="F10" s="67" t="s">
        <v>62</v>
      </c>
      <c r="H10"/>
      <c r="I10"/>
      <c r="J10"/>
      <c r="K10"/>
      <c r="L10"/>
      <c r="M10"/>
      <c r="N10"/>
      <c r="O10"/>
      <c r="P10"/>
      <c r="Q10"/>
      <c r="R10"/>
      <c r="S10"/>
      <c r="T10"/>
      <c r="U10"/>
      <c r="V10"/>
      <c r="W10"/>
      <c r="X10"/>
      <c r="Y10"/>
      <c r="Z10"/>
      <c r="AA10"/>
      <c r="AB10"/>
      <c r="AC10"/>
      <c r="AD10"/>
      <c r="AE10"/>
      <c r="AF10"/>
      <c r="AG10"/>
      <c r="AH10"/>
      <c r="AI10"/>
      <c r="AJ10"/>
      <c r="AK10"/>
      <c r="AL10"/>
      <c r="AM10"/>
      <c r="AN10"/>
      <c r="AO10"/>
      <c r="AP10"/>
      <c r="AQ10"/>
    </row>
    <row r="11" spans="1:43" ht="21.9" customHeight="1" thickBot="1">
      <c r="B11" s="15" t="s">
        <v>51</v>
      </c>
      <c r="C11" s="16">
        <v>300</v>
      </c>
      <c r="D11" s="63">
        <f>SUM(【入力様式】イベント広場!M25,【入力様式】イベント広場!M35,【入力様式】イベント広場!M45,【入力様式】イベント広場!M55,【入力様式】イベント広場!M65)</f>
        <v>0</v>
      </c>
      <c r="E11" s="64" t="s">
        <v>249</v>
      </c>
      <c r="F11" s="19">
        <f>C11*D11</f>
        <v>0</v>
      </c>
    </row>
    <row r="12" spans="1:43" s="18" customFormat="1" ht="21.9" customHeight="1" thickBot="1">
      <c r="A12"/>
      <c r="B12" s="255" t="s">
        <v>54</v>
      </c>
      <c r="C12" s="256"/>
      <c r="D12" s="256"/>
      <c r="E12" s="257"/>
      <c r="F12" s="17">
        <f>SUM(F11:F11)</f>
        <v>0</v>
      </c>
      <c r="H12"/>
      <c r="I12"/>
      <c r="J12"/>
      <c r="K12"/>
      <c r="L12"/>
      <c r="M12"/>
      <c r="N12"/>
      <c r="O12"/>
      <c r="P12"/>
      <c r="Q12"/>
      <c r="R12"/>
      <c r="S12"/>
      <c r="T12"/>
      <c r="U12"/>
      <c r="V12"/>
      <c r="W12"/>
      <c r="X12"/>
      <c r="Y12"/>
      <c r="Z12"/>
      <c r="AA12"/>
      <c r="AB12"/>
      <c r="AC12"/>
      <c r="AD12"/>
      <c r="AE12"/>
      <c r="AF12"/>
      <c r="AG12"/>
      <c r="AH12"/>
      <c r="AI12"/>
      <c r="AJ12"/>
      <c r="AK12"/>
      <c r="AL12"/>
      <c r="AM12"/>
      <c r="AN12"/>
      <c r="AO12"/>
      <c r="AP12"/>
      <c r="AQ12"/>
    </row>
    <row r="13" spans="1:43" s="18" customFormat="1" ht="21.9" customHeight="1" thickBot="1">
      <c r="A13"/>
      <c r="B13"/>
      <c r="C13"/>
      <c r="D13"/>
      <c r="E13"/>
      <c r="F13"/>
      <c r="H13"/>
      <c r="I13"/>
      <c r="J13"/>
      <c r="K13"/>
      <c r="L13"/>
      <c r="M13"/>
      <c r="N13"/>
      <c r="O13"/>
      <c r="P13"/>
      <c r="Q13"/>
      <c r="R13"/>
      <c r="S13"/>
      <c r="T13"/>
      <c r="U13"/>
      <c r="V13"/>
      <c r="W13"/>
      <c r="X13"/>
      <c r="Y13"/>
      <c r="Z13"/>
      <c r="AA13"/>
      <c r="AB13"/>
      <c r="AC13"/>
      <c r="AD13"/>
      <c r="AE13"/>
      <c r="AF13"/>
      <c r="AG13"/>
      <c r="AH13"/>
      <c r="AI13"/>
      <c r="AJ13"/>
      <c r="AK13"/>
      <c r="AL13"/>
      <c r="AM13"/>
      <c r="AN13"/>
      <c r="AO13"/>
      <c r="AP13"/>
      <c r="AQ13"/>
    </row>
    <row r="14" spans="1:43" s="18" customFormat="1" ht="21.9" customHeight="1" thickBot="1">
      <c r="A14"/>
      <c r="B14" s="255" t="s">
        <v>180</v>
      </c>
      <c r="C14" s="256"/>
      <c r="D14" s="256"/>
      <c r="E14" s="257"/>
      <c r="F14" s="17">
        <f>SUM(F12,D8:D8)</f>
        <v>0</v>
      </c>
      <c r="H14"/>
      <c r="I14"/>
      <c r="J14"/>
      <c r="K14"/>
      <c r="L14"/>
      <c r="M14"/>
      <c r="N14"/>
      <c r="O14"/>
      <c r="P14"/>
      <c r="Q14"/>
      <c r="R14"/>
      <c r="S14"/>
      <c r="T14"/>
      <c r="U14"/>
      <c r="V14"/>
      <c r="W14"/>
      <c r="X14"/>
      <c r="Y14"/>
      <c r="Z14"/>
      <c r="AA14"/>
      <c r="AB14"/>
      <c r="AC14"/>
      <c r="AD14"/>
      <c r="AE14"/>
      <c r="AF14"/>
      <c r="AG14"/>
      <c r="AH14"/>
      <c r="AI14"/>
      <c r="AJ14"/>
      <c r="AK14"/>
      <c r="AL14"/>
      <c r="AM14"/>
      <c r="AN14"/>
      <c r="AO14"/>
      <c r="AP14"/>
      <c r="AQ14"/>
    </row>
    <row r="15" spans="1:43" s="18" customFormat="1" ht="21.9" customHeight="1">
      <c r="A15"/>
      <c r="B15"/>
      <c r="C15"/>
      <c r="D15"/>
      <c r="E15"/>
      <c r="F15"/>
      <c r="H15"/>
      <c r="I15"/>
      <c r="J15"/>
      <c r="K15"/>
      <c r="L15"/>
      <c r="M15"/>
      <c r="N15"/>
      <c r="O15"/>
      <c r="P15"/>
      <c r="Q15"/>
      <c r="R15"/>
      <c r="S15"/>
      <c r="T15"/>
      <c r="U15"/>
      <c r="V15"/>
      <c r="W15"/>
      <c r="X15"/>
      <c r="Y15"/>
      <c r="Z15"/>
      <c r="AA15"/>
      <c r="AB15"/>
      <c r="AC15"/>
      <c r="AD15"/>
      <c r="AE15"/>
      <c r="AF15"/>
      <c r="AG15"/>
      <c r="AH15"/>
      <c r="AI15"/>
      <c r="AJ15"/>
      <c r="AK15"/>
      <c r="AL15"/>
      <c r="AM15"/>
      <c r="AN15"/>
      <c r="AO15"/>
      <c r="AP15"/>
      <c r="AQ15"/>
    </row>
    <row r="16" spans="1:43" s="18" customFormat="1" ht="21.9" customHeight="1">
      <c r="A16"/>
      <c r="B16"/>
      <c r="C16"/>
      <c r="D16"/>
      <c r="E16"/>
      <c r="F16"/>
      <c r="H16"/>
      <c r="I16"/>
      <c r="J16"/>
      <c r="K16"/>
      <c r="L16"/>
      <c r="M16"/>
      <c r="N16"/>
      <c r="O16"/>
      <c r="P16"/>
      <c r="Q16"/>
      <c r="R16"/>
      <c r="S16"/>
      <c r="T16"/>
      <c r="U16"/>
      <c r="V16"/>
      <c r="W16"/>
      <c r="X16"/>
      <c r="Y16"/>
      <c r="Z16"/>
      <c r="AA16"/>
      <c r="AB16"/>
      <c r="AC16"/>
      <c r="AD16"/>
      <c r="AE16"/>
      <c r="AF16"/>
      <c r="AG16"/>
      <c r="AH16"/>
      <c r="AI16"/>
      <c r="AJ16"/>
      <c r="AK16"/>
      <c r="AL16"/>
      <c r="AM16"/>
      <c r="AN16"/>
      <c r="AO16"/>
      <c r="AP16"/>
      <c r="AQ16"/>
    </row>
    <row r="17" spans="1:43" s="18" customFormat="1" ht="21.9" customHeight="1">
      <c r="A17"/>
      <c r="B17"/>
      <c r="C17"/>
      <c r="D17"/>
      <c r="E17"/>
      <c r="F17"/>
      <c r="H17"/>
      <c r="I17"/>
      <c r="J17"/>
      <c r="K17"/>
      <c r="L17"/>
      <c r="M17"/>
      <c r="N17"/>
      <c r="O17"/>
      <c r="P17"/>
      <c r="Q17"/>
      <c r="R17"/>
      <c r="S17"/>
      <c r="T17"/>
      <c r="U17"/>
      <c r="V17"/>
      <c r="W17"/>
      <c r="X17"/>
      <c r="Y17"/>
      <c r="Z17"/>
      <c r="AA17"/>
      <c r="AB17"/>
      <c r="AC17"/>
      <c r="AD17"/>
      <c r="AE17"/>
      <c r="AF17"/>
      <c r="AG17"/>
      <c r="AH17"/>
      <c r="AI17"/>
      <c r="AJ17"/>
      <c r="AK17"/>
      <c r="AL17"/>
      <c r="AM17"/>
      <c r="AN17"/>
      <c r="AO17"/>
      <c r="AP17"/>
      <c r="AQ17"/>
    </row>
    <row r="18" spans="1:43" s="18" customFormat="1" ht="21.9" customHeight="1">
      <c r="A18"/>
      <c r="B18"/>
      <c r="C18"/>
      <c r="D18"/>
      <c r="E18"/>
      <c r="F18"/>
      <c r="H18"/>
      <c r="I18"/>
      <c r="J18"/>
      <c r="K18"/>
      <c r="L18"/>
      <c r="M18"/>
      <c r="N18"/>
      <c r="O18"/>
      <c r="P18"/>
      <c r="Q18"/>
      <c r="R18"/>
      <c r="S18"/>
      <c r="T18"/>
      <c r="U18"/>
      <c r="V18"/>
      <c r="W18"/>
      <c r="X18"/>
      <c r="Y18"/>
      <c r="Z18"/>
      <c r="AA18"/>
      <c r="AB18"/>
      <c r="AC18"/>
      <c r="AD18"/>
      <c r="AE18"/>
      <c r="AF18"/>
      <c r="AG18"/>
      <c r="AH18"/>
      <c r="AI18"/>
      <c r="AJ18"/>
      <c r="AK18"/>
      <c r="AL18"/>
      <c r="AM18"/>
      <c r="AN18"/>
      <c r="AO18"/>
      <c r="AP18"/>
      <c r="AQ18"/>
    </row>
    <row r="19" spans="1:43" s="18" customFormat="1" ht="21.9" customHeight="1">
      <c r="A19"/>
      <c r="B19"/>
      <c r="C19"/>
      <c r="D19"/>
      <c r="E19"/>
      <c r="F19"/>
      <c r="H19"/>
      <c r="I19"/>
      <c r="J19"/>
      <c r="K19"/>
      <c r="L19"/>
      <c r="M19"/>
      <c r="N19"/>
      <c r="O19"/>
      <c r="P19"/>
      <c r="Q19"/>
      <c r="R19"/>
      <c r="S19"/>
      <c r="T19"/>
      <c r="U19"/>
      <c r="V19"/>
      <c r="W19"/>
      <c r="X19"/>
      <c r="Y19"/>
      <c r="Z19"/>
      <c r="AA19"/>
      <c r="AB19"/>
      <c r="AC19"/>
      <c r="AD19"/>
      <c r="AE19"/>
      <c r="AF19"/>
      <c r="AG19"/>
      <c r="AH19"/>
      <c r="AI19"/>
      <c r="AJ19"/>
      <c r="AK19"/>
      <c r="AL19"/>
      <c r="AM19"/>
      <c r="AN19"/>
      <c r="AO19"/>
      <c r="AP19"/>
      <c r="AQ19"/>
    </row>
    <row r="20" spans="1:43" s="18" customFormat="1" ht="21.9" customHeight="1">
      <c r="A20"/>
      <c r="B20"/>
      <c r="C20"/>
      <c r="D20"/>
      <c r="E20"/>
      <c r="F20"/>
      <c r="H20"/>
      <c r="I20"/>
      <c r="J20"/>
      <c r="K20"/>
      <c r="L20"/>
      <c r="M20"/>
      <c r="N20"/>
      <c r="O20"/>
      <c r="P20"/>
      <c r="Q20"/>
      <c r="R20"/>
      <c r="S20"/>
      <c r="T20"/>
      <c r="U20"/>
      <c r="V20"/>
      <c r="W20"/>
      <c r="X20"/>
      <c r="Y20"/>
      <c r="Z20"/>
      <c r="AA20"/>
      <c r="AB20"/>
      <c r="AC20"/>
      <c r="AD20"/>
      <c r="AE20"/>
      <c r="AF20"/>
      <c r="AG20"/>
      <c r="AH20"/>
      <c r="AI20"/>
      <c r="AJ20"/>
      <c r="AK20"/>
      <c r="AL20"/>
      <c r="AM20"/>
      <c r="AN20"/>
      <c r="AO20"/>
      <c r="AP20"/>
      <c r="AQ20"/>
    </row>
    <row r="30" spans="1:43" ht="21.9" customHeight="1">
      <c r="Q30" s="18"/>
      <c r="R30" s="18"/>
      <c r="S30" s="18"/>
    </row>
  </sheetData>
  <sheetProtection algorithmName="SHA-512" hashValue="P1SUWAOEXOq6WrSsCvDHBt9RstUECBQj++TAz00ZVLka70aeMpSB7R2L93J2IWKVokDCXsME/oaA6mV/qaVUMg==" saltValue="VIQozCgjVV3vDLp9WgPX8g==" spinCount="100000" sheet="1"/>
  <mergeCells count="4">
    <mergeCell ref="B12:E12"/>
    <mergeCell ref="B14:E14"/>
    <mergeCell ref="B8:C8"/>
    <mergeCell ref="D2:E2"/>
  </mergeCells>
  <phoneticPr fontId="2"/>
  <conditionalFormatting sqref="B3">
    <cfRule type="expression" dxfId="39" priority="14">
      <formula>$B$3=DATE(1900,1,0)</formula>
    </cfRule>
  </conditionalFormatting>
  <conditionalFormatting sqref="B4">
    <cfRule type="expression" dxfId="38" priority="11">
      <formula>$B$4=DATE(1900,1,0)</formula>
    </cfRule>
  </conditionalFormatting>
  <conditionalFormatting sqref="B5">
    <cfRule type="expression" dxfId="37" priority="12">
      <formula>$B$5=DATE(1900,1,0)</formula>
    </cfRule>
  </conditionalFormatting>
  <conditionalFormatting sqref="B6">
    <cfRule type="expression" dxfId="36" priority="13">
      <formula>$B$6=DATE(1900,1,0)</formula>
    </cfRule>
  </conditionalFormatting>
  <conditionalFormatting sqref="B7">
    <cfRule type="expression" dxfId="35" priority="15">
      <formula>$B$7=DATE(1900,1,0)</formula>
    </cfRule>
  </conditionalFormatting>
  <conditionalFormatting sqref="C3">
    <cfRule type="expression" dxfId="34" priority="10">
      <formula>$C$3=0</formula>
    </cfRule>
  </conditionalFormatting>
  <conditionalFormatting sqref="C4">
    <cfRule type="expression" dxfId="33" priority="6">
      <formula>$C$4=0</formula>
    </cfRule>
  </conditionalFormatting>
  <conditionalFormatting sqref="C5">
    <cfRule type="expression" dxfId="32" priority="7">
      <formula>$C$5=0</formula>
    </cfRule>
  </conditionalFormatting>
  <conditionalFormatting sqref="C6">
    <cfRule type="expression" dxfId="31" priority="8">
      <formula>$C$6=0</formula>
    </cfRule>
  </conditionalFormatting>
  <conditionalFormatting sqref="C7">
    <cfRule type="expression" dxfId="30" priority="9">
      <formula>$C$7=0</formula>
    </cfRule>
  </conditionalFormatting>
  <conditionalFormatting sqref="D3">
    <cfRule type="expression" dxfId="29" priority="5">
      <formula>$D$3=0</formula>
    </cfRule>
  </conditionalFormatting>
  <conditionalFormatting sqref="D4">
    <cfRule type="expression" dxfId="28" priority="1">
      <formula>$D$4=0</formula>
    </cfRule>
  </conditionalFormatting>
  <conditionalFormatting sqref="D5">
    <cfRule type="expression" dxfId="27" priority="2">
      <formula>$D$5=0</formula>
    </cfRule>
  </conditionalFormatting>
  <conditionalFormatting sqref="D6">
    <cfRule type="expression" dxfId="26" priority="3">
      <formula>$D$6=0</formula>
    </cfRule>
  </conditionalFormatting>
  <conditionalFormatting sqref="D7">
    <cfRule type="expression" dxfId="25" priority="4">
      <formula>$D$7=0</formula>
    </cfRule>
  </conditionalFormatting>
  <pageMargins left="0.25" right="0.25"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58E94-C6DD-4C6B-812A-EC2D66184BC8}">
  <sheetPr>
    <tabColor theme="8" tint="0.59999389629810485"/>
  </sheetPr>
  <dimension ref="A1:K31"/>
  <sheetViews>
    <sheetView view="pageBreakPreview" zoomScale="55" zoomScaleNormal="55" zoomScaleSheetLayoutView="85" workbookViewId="0">
      <selection activeCell="O7" sqref="O7"/>
    </sheetView>
  </sheetViews>
  <sheetFormatPr defaultColWidth="8.19921875" defaultRowHeight="20.100000000000001" customHeight="1"/>
  <cols>
    <col min="1" max="2" width="3.19921875" style="72" customWidth="1"/>
    <col min="3" max="3" width="18.796875" style="72" customWidth="1"/>
    <col min="4" max="4" width="6.8984375" style="72" customWidth="1"/>
    <col min="5" max="5" width="5.09765625" style="72" customWidth="1"/>
    <col min="6" max="6" width="6.8984375" style="72" customWidth="1"/>
    <col min="7" max="7" width="2.296875" style="72" customWidth="1"/>
    <col min="8" max="8" width="6.8984375" style="72" customWidth="1"/>
    <col min="9" max="9" width="5.09765625" style="72" customWidth="1"/>
    <col min="10" max="10" width="8.69921875" style="72" customWidth="1"/>
    <col min="11" max="11" width="11.5" style="72" customWidth="1"/>
    <col min="12" max="16384" width="8.19921875" style="72"/>
  </cols>
  <sheetData>
    <row r="1" spans="1:11" ht="20.100000000000001" customHeight="1">
      <c r="J1" s="239">
        <v>45931</v>
      </c>
      <c r="K1" s="239"/>
    </row>
    <row r="2" spans="1:11" ht="25.05" customHeight="1">
      <c r="A2" s="240" t="s">
        <v>191</v>
      </c>
      <c r="B2" s="240"/>
      <c r="C2" s="240"/>
      <c r="D2" s="240"/>
      <c r="E2" s="240"/>
      <c r="F2" s="240"/>
      <c r="G2" s="240"/>
      <c r="H2" s="240"/>
      <c r="I2" s="240"/>
      <c r="J2" s="240"/>
      <c r="K2" s="240"/>
    </row>
    <row r="3" spans="1:11" ht="25.05" customHeight="1">
      <c r="B3" s="73"/>
      <c r="C3" s="241" t="str">
        <f>'【営利用】様式第１号(申請書)※入力不要'!E8</f>
        <v>■■■■株式会社</v>
      </c>
      <c r="D3" s="241"/>
      <c r="E3" s="241"/>
      <c r="F3" s="241"/>
      <c r="G3" s="241"/>
      <c r="H3" s="74" t="s">
        <v>192</v>
      </c>
      <c r="I3" s="75"/>
      <c r="J3" s="75"/>
      <c r="K3" s="75"/>
    </row>
    <row r="4" spans="1:11" ht="50.1" customHeight="1" thickBot="1"/>
    <row r="5" spans="1:11" ht="25.05" customHeight="1" thickBot="1">
      <c r="B5" s="76"/>
      <c r="C5" s="77" t="s">
        <v>193</v>
      </c>
      <c r="D5" s="242">
        <f>'【営利用】様式第３号(許可書) ※入力不要'!G24</f>
        <v>0</v>
      </c>
      <c r="E5" s="243"/>
      <c r="F5" s="244"/>
      <c r="G5" s="78" t="s">
        <v>194</v>
      </c>
      <c r="H5" s="79"/>
    </row>
    <row r="6" spans="1:11" ht="3" customHeight="1">
      <c r="B6" s="75"/>
      <c r="C6" s="80"/>
      <c r="D6" s="81"/>
      <c r="E6" s="81"/>
      <c r="F6" s="81"/>
      <c r="G6" s="81"/>
    </row>
    <row r="7" spans="1:11" ht="25.05" customHeight="1">
      <c r="B7" s="82"/>
      <c r="C7" s="83" t="s">
        <v>195</v>
      </c>
      <c r="D7" s="245"/>
      <c r="E7" s="246"/>
      <c r="F7" s="247"/>
      <c r="G7" s="84"/>
    </row>
    <row r="8" spans="1:11" ht="30" customHeight="1">
      <c r="B8" s="85"/>
      <c r="C8" s="85"/>
    </row>
    <row r="9" spans="1:11" ht="25.05" customHeight="1">
      <c r="B9" s="82"/>
      <c r="C9" s="176" t="s">
        <v>196</v>
      </c>
      <c r="D9" s="233">
        <f>'【営利用】様式第１号(申請書)※入力不要'!E17</f>
        <v>0</v>
      </c>
      <c r="E9" s="234"/>
      <c r="F9" s="234"/>
      <c r="G9" s="235" t="s">
        <v>174</v>
      </c>
      <c r="H9" s="235"/>
      <c r="I9" s="234">
        <f>'【営利用】様式第１号(申請書)※入力不要'!E18</f>
        <v>0</v>
      </c>
      <c r="J9" s="234"/>
      <c r="K9" s="177" t="s">
        <v>175</v>
      </c>
    </row>
    <row r="10" spans="1:11" ht="25.05" customHeight="1">
      <c r="B10" s="82"/>
      <c r="C10" s="83" t="s">
        <v>197</v>
      </c>
      <c r="D10" s="251" t="str">
        <f>'【営利用】様式第１号(申請書)※入力不要'!B15</f>
        <v>●●イベント</v>
      </c>
      <c r="E10" s="251"/>
      <c r="F10" s="251"/>
      <c r="G10" s="251"/>
      <c r="H10" s="251"/>
      <c r="I10" s="251"/>
      <c r="J10" s="251"/>
      <c r="K10" s="251"/>
    </row>
    <row r="11" spans="1:11" ht="10.050000000000001" customHeight="1"/>
    <row r="12" spans="1:11" ht="25.05" customHeight="1">
      <c r="B12" s="86" t="s">
        <v>198</v>
      </c>
      <c r="C12" s="86" t="s">
        <v>199</v>
      </c>
      <c r="D12" s="252" t="s">
        <v>196</v>
      </c>
      <c r="E12" s="253"/>
      <c r="F12" s="252" t="s">
        <v>200</v>
      </c>
      <c r="G12" s="254"/>
      <c r="H12" s="253"/>
      <c r="I12" s="86" t="s">
        <v>201</v>
      </c>
      <c r="J12" s="86" t="s">
        <v>202</v>
      </c>
      <c r="K12" s="86" t="s">
        <v>203</v>
      </c>
    </row>
    <row r="13" spans="1:11" ht="25.05" customHeight="1">
      <c r="B13" s="87">
        <v>1</v>
      </c>
      <c r="C13" s="236" t="s">
        <v>214</v>
      </c>
      <c r="D13" s="237"/>
      <c r="E13" s="237"/>
      <c r="F13" s="237"/>
      <c r="G13" s="237"/>
      <c r="H13" s="237"/>
      <c r="I13" s="237"/>
      <c r="J13" s="237"/>
      <c r="K13" s="238"/>
    </row>
    <row r="14" spans="1:11" ht="25.05" customHeight="1">
      <c r="B14" s="88">
        <v>2</v>
      </c>
      <c r="C14" s="89"/>
      <c r="D14" s="90"/>
      <c r="E14" s="91"/>
      <c r="F14" s="248"/>
      <c r="G14" s="249"/>
      <c r="H14" s="250"/>
      <c r="I14" s="92"/>
      <c r="J14" s="93"/>
      <c r="K14" s="94"/>
    </row>
    <row r="15" spans="1:11" ht="25.05" customHeight="1">
      <c r="B15" s="88">
        <v>3</v>
      </c>
      <c r="C15" s="89"/>
      <c r="D15" s="90"/>
      <c r="E15" s="91"/>
      <c r="F15" s="248"/>
      <c r="G15" s="249"/>
      <c r="H15" s="250"/>
      <c r="I15" s="92"/>
      <c r="J15" s="93"/>
      <c r="K15" s="94"/>
    </row>
    <row r="16" spans="1:11" ht="25.05" customHeight="1">
      <c r="B16" s="88">
        <v>4</v>
      </c>
      <c r="C16" s="89"/>
      <c r="D16" s="90"/>
      <c r="E16" s="91"/>
      <c r="F16" s="248"/>
      <c r="G16" s="249"/>
      <c r="H16" s="250"/>
      <c r="I16" s="92"/>
      <c r="J16" s="93"/>
      <c r="K16" s="94"/>
    </row>
    <row r="17" spans="2:11" ht="25.05" customHeight="1">
      <c r="B17" s="88">
        <v>5</v>
      </c>
      <c r="C17" s="89"/>
      <c r="D17" s="90"/>
      <c r="E17" s="91"/>
      <c r="F17" s="248"/>
      <c r="G17" s="249"/>
      <c r="H17" s="250"/>
      <c r="I17" s="92"/>
      <c r="J17" s="93"/>
      <c r="K17" s="94"/>
    </row>
    <row r="18" spans="2:11" ht="25.05" customHeight="1">
      <c r="B18" s="88">
        <v>6</v>
      </c>
      <c r="C18" s="89"/>
      <c r="D18" s="90"/>
      <c r="E18" s="91"/>
      <c r="F18" s="248"/>
      <c r="G18" s="249"/>
      <c r="H18" s="250"/>
      <c r="I18" s="92"/>
      <c r="J18" s="93"/>
      <c r="K18" s="94"/>
    </row>
    <row r="19" spans="2:11" ht="25.05" customHeight="1">
      <c r="B19" s="88">
        <v>7</v>
      </c>
      <c r="C19" s="89"/>
      <c r="D19" s="90"/>
      <c r="E19" s="91"/>
      <c r="F19" s="248"/>
      <c r="G19" s="249"/>
      <c r="H19" s="250"/>
      <c r="I19" s="92"/>
      <c r="J19" s="93"/>
      <c r="K19" s="94"/>
    </row>
    <row r="20" spans="2:11" ht="25.05" customHeight="1">
      <c r="B20" s="88">
        <v>8</v>
      </c>
      <c r="C20" s="89"/>
      <c r="D20" s="90"/>
      <c r="E20" s="91"/>
      <c r="F20" s="248"/>
      <c r="G20" s="249"/>
      <c r="H20" s="250"/>
      <c r="I20" s="92"/>
      <c r="J20" s="93"/>
      <c r="K20" s="94"/>
    </row>
    <row r="21" spans="2:11" ht="25.05" customHeight="1">
      <c r="B21" s="88">
        <v>9</v>
      </c>
      <c r="C21" s="89"/>
      <c r="D21" s="90"/>
      <c r="E21" s="91"/>
      <c r="F21" s="248"/>
      <c r="G21" s="249"/>
      <c r="H21" s="250"/>
      <c r="I21" s="92"/>
      <c r="J21" s="93"/>
      <c r="K21" s="94"/>
    </row>
    <row r="22" spans="2:11" ht="25.05" customHeight="1" thickBot="1">
      <c r="B22" s="75" t="s">
        <v>204</v>
      </c>
      <c r="C22" s="96"/>
      <c r="D22" s="97"/>
      <c r="E22" s="98"/>
      <c r="F22" s="99"/>
      <c r="G22" s="100"/>
      <c r="H22" s="101"/>
      <c r="I22" s="102" t="s">
        <v>205</v>
      </c>
      <c r="J22" s="103"/>
      <c r="K22" s="104">
        <f>D5</f>
        <v>0</v>
      </c>
    </row>
    <row r="23" spans="2:11" ht="25.05" customHeight="1">
      <c r="B23" s="105"/>
      <c r="C23" s="106"/>
      <c r="D23" s="107"/>
      <c r="E23" s="108"/>
      <c r="F23" s="99"/>
      <c r="G23" s="109"/>
      <c r="H23" s="110" t="s">
        <v>206</v>
      </c>
      <c r="I23" s="111"/>
      <c r="J23" s="112">
        <v>0.1</v>
      </c>
      <c r="K23" s="95">
        <f>ROUNDDOWN($K$22/(1+$J$23)*$J$23,0)</f>
        <v>0</v>
      </c>
    </row>
    <row r="24" spans="2:11" ht="25.05" customHeight="1">
      <c r="B24" s="105"/>
      <c r="C24" s="113"/>
      <c r="D24" s="114"/>
      <c r="E24" s="115"/>
      <c r="F24" s="75"/>
      <c r="G24" s="116"/>
      <c r="H24" s="117" t="s">
        <v>206</v>
      </c>
      <c r="I24" s="118"/>
      <c r="J24" s="119">
        <v>0.08</v>
      </c>
      <c r="K24" s="95"/>
    </row>
    <row r="25" spans="2:11" ht="10.050000000000001" customHeight="1" thickBot="1">
      <c r="C25" s="120"/>
      <c r="D25" s="121"/>
      <c r="E25" s="122"/>
      <c r="G25" s="123"/>
    </row>
    <row r="26" spans="2:11" ht="22.05" customHeight="1">
      <c r="E26" s="124" t="s">
        <v>207</v>
      </c>
      <c r="G26" s="75"/>
    </row>
    <row r="27" spans="2:11" ht="15" customHeight="1">
      <c r="B27" s="125" t="s">
        <v>208</v>
      </c>
      <c r="C27" s="73"/>
      <c r="D27" s="125"/>
      <c r="E27" s="125"/>
      <c r="F27" s="125"/>
      <c r="G27" s="73"/>
      <c r="H27" s="125"/>
      <c r="I27" s="73"/>
      <c r="J27" s="125"/>
      <c r="K27" s="125"/>
    </row>
    <row r="28" spans="2:11" ht="15" customHeight="1">
      <c r="B28" s="126" t="s">
        <v>209</v>
      </c>
      <c r="C28" s="127" t="s">
        <v>210</v>
      </c>
      <c r="G28" s="75"/>
      <c r="I28" s="128"/>
      <c r="K28" s="129"/>
    </row>
    <row r="29" spans="2:11" ht="15" customHeight="1">
      <c r="B29" s="126" t="s">
        <v>209</v>
      </c>
      <c r="C29" s="127" t="s">
        <v>211</v>
      </c>
      <c r="G29" s="75"/>
      <c r="I29" s="128"/>
      <c r="K29" s="129"/>
    </row>
    <row r="30" spans="2:11" ht="15" customHeight="1">
      <c r="B30" s="126" t="s">
        <v>209</v>
      </c>
      <c r="C30" s="127" t="s">
        <v>212</v>
      </c>
      <c r="G30" s="75"/>
      <c r="I30" s="75"/>
      <c r="K30" s="129"/>
    </row>
    <row r="31" spans="2:11" ht="15" customHeight="1">
      <c r="B31" s="130" t="s">
        <v>209</v>
      </c>
      <c r="C31" s="131" t="s">
        <v>213</v>
      </c>
      <c r="D31" s="125"/>
      <c r="E31" s="125"/>
      <c r="F31" s="125"/>
      <c r="G31" s="132"/>
      <c r="H31" s="125"/>
      <c r="I31" s="125"/>
      <c r="J31" s="125"/>
      <c r="K31" s="133"/>
    </row>
  </sheetData>
  <sheetProtection algorithmName="SHA-512" hashValue="OinHTXDIp8nIr7YsSjO6NKSn6cdcsGaiOXS3obHi6RLxxrkfnMzxOZlLC9fGBtmbnH8qPlaXsABPLCN/I2O4oQ==" saltValue="L04GuVAA06Bxqj/s57lBPQ==" spinCount="100000" sheet="1" objects="1" scenarios="1"/>
  <mergeCells count="20">
    <mergeCell ref="D9:F9"/>
    <mergeCell ref="G9:H9"/>
    <mergeCell ref="I9:J9"/>
    <mergeCell ref="J1:K1"/>
    <mergeCell ref="A2:K2"/>
    <mergeCell ref="C3:G3"/>
    <mergeCell ref="D5:F5"/>
    <mergeCell ref="D7:F7"/>
    <mergeCell ref="F21:H21"/>
    <mergeCell ref="D10:K10"/>
    <mergeCell ref="D12:E12"/>
    <mergeCell ref="F12:H12"/>
    <mergeCell ref="C13:K13"/>
    <mergeCell ref="F14:H14"/>
    <mergeCell ref="F15:H15"/>
    <mergeCell ref="F16:H16"/>
    <mergeCell ref="F17:H17"/>
    <mergeCell ref="F18:H18"/>
    <mergeCell ref="F19:H19"/>
    <mergeCell ref="F20:H20"/>
  </mergeCells>
  <phoneticPr fontId="2"/>
  <conditionalFormatting sqref="D9:F9">
    <cfRule type="expression" dxfId="24" priority="2">
      <formula>$D$9=DATE(1900,1,0)</formula>
    </cfRule>
  </conditionalFormatting>
  <conditionalFormatting sqref="I9:J9">
    <cfRule type="expression" dxfId="23" priority="1">
      <formula>$I$9=DATE(1900,1,0)</formula>
    </cfRule>
  </conditionalFormatting>
  <pageMargins left="0.70866141732283472" right="0.70866141732283472" top="0.74803149606299213" bottom="0.74803149606299213" header="0.31496062992125984" footer="0.31496062992125984"/>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90F88-3105-4D44-9EA4-EC85F04B37B0}">
  <sheetPr>
    <tabColor theme="8" tint="0.59999389629810485"/>
    <pageSetUpPr fitToPage="1"/>
  </sheetPr>
  <dimension ref="A1:AQ30"/>
  <sheetViews>
    <sheetView showGridLines="0" view="pageBreakPreview" topLeftCell="B1" zoomScaleNormal="100" zoomScaleSheetLayoutView="100" workbookViewId="0">
      <selection activeCell="B4" sqref="B4"/>
    </sheetView>
  </sheetViews>
  <sheetFormatPr defaultColWidth="7.3984375" defaultRowHeight="21.9" customHeight="1"/>
  <cols>
    <col min="1" max="1" width="3.69921875" customWidth="1"/>
    <col min="2" max="2" width="33.3984375" bestFit="1" customWidth="1"/>
    <col min="3" max="3" width="13.3984375" customWidth="1"/>
    <col min="4" max="4" width="14.3984375" customWidth="1"/>
    <col min="5" max="5" width="11.19921875" customWidth="1"/>
    <col min="6" max="6" width="10.69921875" bestFit="1" customWidth="1"/>
    <col min="7" max="7" width="4.09765625" style="18" customWidth="1"/>
    <col min="8" max="8" width="9.59765625" bestFit="1" customWidth="1"/>
  </cols>
  <sheetData>
    <row r="1" spans="1:43" ht="21.9" customHeight="1">
      <c r="B1" t="s">
        <v>190</v>
      </c>
    </row>
    <row r="2" spans="1:43" ht="21.9" customHeight="1">
      <c r="B2" s="66" t="s">
        <v>179</v>
      </c>
      <c r="C2" s="71" t="s">
        <v>178</v>
      </c>
      <c r="D2" s="258" t="s">
        <v>243</v>
      </c>
      <c r="E2" s="259"/>
      <c r="F2" s="18"/>
      <c r="G2"/>
    </row>
    <row r="3" spans="1:43" ht="21.9" customHeight="1">
      <c r="B3" s="190">
        <f>【入力様式】イベント広場!C21</f>
        <v>0</v>
      </c>
      <c r="C3" s="192">
        <f>【入力様式】イベント広場!C22</f>
        <v>0</v>
      </c>
      <c r="D3" s="65">
        <f>【入力様式】イベント広場!P24</f>
        <v>0</v>
      </c>
      <c r="E3" s="61" t="s">
        <v>163</v>
      </c>
      <c r="F3" s="18"/>
      <c r="G3"/>
    </row>
    <row r="4" spans="1:43" s="18" customFormat="1" ht="21.9" customHeight="1">
      <c r="A4"/>
      <c r="B4" s="191">
        <f>【入力様式】イベント広場!C31</f>
        <v>0</v>
      </c>
      <c r="C4" s="193">
        <f>【入力様式】イベント広場!C32</f>
        <v>0</v>
      </c>
      <c r="D4" s="178">
        <f>【入力様式】イベント広場!P34</f>
        <v>0</v>
      </c>
      <c r="E4" s="160" t="s">
        <v>163</v>
      </c>
      <c r="G4"/>
      <c r="H4"/>
      <c r="I4"/>
      <c r="J4"/>
      <c r="K4"/>
      <c r="L4"/>
      <c r="M4"/>
      <c r="N4"/>
      <c r="O4"/>
      <c r="P4"/>
      <c r="Q4"/>
      <c r="R4"/>
      <c r="S4"/>
      <c r="T4"/>
      <c r="U4"/>
      <c r="V4"/>
      <c r="W4"/>
      <c r="X4"/>
      <c r="Y4"/>
      <c r="Z4"/>
      <c r="AA4"/>
      <c r="AB4"/>
      <c r="AC4"/>
      <c r="AD4"/>
      <c r="AE4"/>
      <c r="AF4"/>
      <c r="AG4"/>
      <c r="AH4"/>
      <c r="AI4"/>
      <c r="AJ4"/>
      <c r="AK4"/>
      <c r="AL4"/>
      <c r="AM4"/>
      <c r="AN4"/>
      <c r="AO4"/>
      <c r="AP4"/>
    </row>
    <row r="5" spans="1:43" s="18" customFormat="1" ht="21.9" customHeight="1">
      <c r="A5"/>
      <c r="B5" s="190">
        <f>【入力様式】イベント広場!C41</f>
        <v>0</v>
      </c>
      <c r="C5" s="194">
        <f>【入力様式】イベント広場!C42</f>
        <v>0</v>
      </c>
      <c r="D5" s="68">
        <f>【入力様式】イベント広場!P44</f>
        <v>0</v>
      </c>
      <c r="E5" s="61" t="s">
        <v>163</v>
      </c>
      <c r="G5"/>
      <c r="H5"/>
      <c r="I5"/>
      <c r="J5"/>
      <c r="K5"/>
      <c r="L5"/>
      <c r="M5"/>
      <c r="N5"/>
      <c r="O5"/>
      <c r="P5"/>
      <c r="Q5"/>
      <c r="R5"/>
      <c r="S5"/>
      <c r="T5"/>
      <c r="U5"/>
      <c r="V5"/>
      <c r="W5"/>
      <c r="X5"/>
      <c r="Y5"/>
      <c r="Z5"/>
      <c r="AA5"/>
      <c r="AB5"/>
      <c r="AC5"/>
      <c r="AD5"/>
      <c r="AE5"/>
      <c r="AF5"/>
      <c r="AG5"/>
      <c r="AH5"/>
      <c r="AI5"/>
      <c r="AJ5"/>
      <c r="AK5"/>
      <c r="AL5"/>
      <c r="AM5"/>
      <c r="AN5"/>
      <c r="AO5"/>
      <c r="AP5"/>
    </row>
    <row r="6" spans="1:43" s="18" customFormat="1" ht="21.9" customHeight="1">
      <c r="A6"/>
      <c r="B6" s="191">
        <f>【入力様式】イベント広場!C51</f>
        <v>0</v>
      </c>
      <c r="C6" s="193">
        <f>【入力様式】イベント広場!C52</f>
        <v>0</v>
      </c>
      <c r="D6" s="178">
        <f>【入力様式】イベント広場!P54</f>
        <v>0</v>
      </c>
      <c r="E6" s="160" t="s">
        <v>163</v>
      </c>
      <c r="G6"/>
      <c r="H6"/>
      <c r="I6"/>
      <c r="J6"/>
      <c r="K6"/>
      <c r="L6"/>
      <c r="M6"/>
      <c r="N6"/>
      <c r="O6"/>
      <c r="P6"/>
      <c r="Q6"/>
      <c r="R6"/>
      <c r="S6"/>
      <c r="T6"/>
      <c r="U6"/>
      <c r="V6"/>
      <c r="W6"/>
      <c r="X6"/>
      <c r="Y6"/>
      <c r="Z6"/>
      <c r="AA6"/>
      <c r="AB6"/>
      <c r="AC6"/>
      <c r="AD6"/>
      <c r="AE6"/>
      <c r="AF6"/>
      <c r="AG6"/>
      <c r="AH6"/>
      <c r="AI6"/>
      <c r="AJ6"/>
      <c r="AK6"/>
      <c r="AL6"/>
      <c r="AM6"/>
      <c r="AN6"/>
      <c r="AO6"/>
      <c r="AP6"/>
    </row>
    <row r="7" spans="1:43" s="18" customFormat="1" ht="21.9" customHeight="1" thickBot="1">
      <c r="A7"/>
      <c r="B7" s="190">
        <f>【入力様式】イベント広場!C61</f>
        <v>0</v>
      </c>
      <c r="C7" s="194">
        <f>【入力様式】イベント広場!C62</f>
        <v>0</v>
      </c>
      <c r="D7" s="68">
        <f>【入力様式】イベント広場!P64</f>
        <v>0</v>
      </c>
      <c r="E7" s="61" t="s">
        <v>163</v>
      </c>
      <c r="G7"/>
      <c r="H7"/>
      <c r="I7"/>
      <c r="J7"/>
      <c r="K7"/>
      <c r="L7"/>
      <c r="M7"/>
      <c r="N7"/>
      <c r="O7"/>
      <c r="P7"/>
      <c r="Q7"/>
      <c r="R7"/>
      <c r="S7"/>
      <c r="T7"/>
      <c r="U7"/>
      <c r="V7"/>
      <c r="W7"/>
      <c r="X7"/>
      <c r="Y7"/>
      <c r="Z7"/>
      <c r="AA7"/>
      <c r="AB7"/>
      <c r="AC7"/>
      <c r="AD7"/>
      <c r="AE7"/>
      <c r="AF7"/>
      <c r="AG7"/>
      <c r="AH7"/>
      <c r="AI7"/>
      <c r="AJ7"/>
      <c r="AK7"/>
      <c r="AL7"/>
      <c r="AM7"/>
      <c r="AN7"/>
      <c r="AO7"/>
      <c r="AP7"/>
    </row>
    <row r="8" spans="1:43" s="18" customFormat="1" ht="21.9" customHeight="1" thickBot="1">
      <c r="A8"/>
      <c r="B8" s="255" t="s">
        <v>54</v>
      </c>
      <c r="C8" s="257"/>
      <c r="D8" s="179">
        <f>SUM(D3,D4,D5,D6,D7)</f>
        <v>0</v>
      </c>
      <c r="E8" s="180" t="s">
        <v>163</v>
      </c>
      <c r="G8"/>
      <c r="H8"/>
      <c r="I8"/>
      <c r="J8"/>
      <c r="K8"/>
      <c r="L8"/>
      <c r="M8"/>
      <c r="N8"/>
      <c r="O8"/>
      <c r="P8"/>
      <c r="Q8"/>
      <c r="R8"/>
      <c r="S8"/>
      <c r="T8"/>
      <c r="U8"/>
      <c r="V8"/>
      <c r="W8"/>
      <c r="X8"/>
      <c r="Y8"/>
      <c r="Z8"/>
      <c r="AA8"/>
      <c r="AB8"/>
      <c r="AC8"/>
      <c r="AD8"/>
      <c r="AE8"/>
      <c r="AF8"/>
      <c r="AG8"/>
      <c r="AH8"/>
      <c r="AI8"/>
      <c r="AJ8"/>
      <c r="AK8"/>
      <c r="AL8"/>
      <c r="AM8"/>
      <c r="AN8"/>
      <c r="AO8"/>
      <c r="AP8"/>
    </row>
    <row r="10" spans="1:43" s="18" customFormat="1" ht="21.9" customHeight="1">
      <c r="A10"/>
      <c r="B10" s="66" t="s">
        <v>181</v>
      </c>
      <c r="C10" s="66" t="s">
        <v>61</v>
      </c>
      <c r="D10" s="66" t="s">
        <v>176</v>
      </c>
      <c r="E10" s="66" t="s">
        <v>177</v>
      </c>
      <c r="F10" s="67" t="s">
        <v>62</v>
      </c>
      <c r="H10"/>
      <c r="I10"/>
      <c r="J10"/>
      <c r="K10"/>
      <c r="L10"/>
      <c r="M10"/>
      <c r="N10"/>
      <c r="O10"/>
      <c r="P10"/>
      <c r="Q10"/>
      <c r="R10"/>
      <c r="S10"/>
      <c r="T10"/>
      <c r="U10"/>
      <c r="V10"/>
      <c r="W10"/>
      <c r="X10"/>
      <c r="Y10"/>
      <c r="Z10"/>
      <c r="AA10"/>
      <c r="AB10"/>
      <c r="AC10"/>
      <c r="AD10"/>
      <c r="AE10"/>
      <c r="AF10"/>
      <c r="AG10"/>
      <c r="AH10"/>
      <c r="AI10"/>
      <c r="AJ10"/>
      <c r="AK10"/>
      <c r="AL10"/>
      <c r="AM10"/>
      <c r="AN10"/>
      <c r="AO10"/>
      <c r="AP10"/>
      <c r="AQ10"/>
    </row>
    <row r="11" spans="1:43" ht="21.9" customHeight="1" thickBot="1">
      <c r="B11" s="15" t="s">
        <v>51</v>
      </c>
      <c r="C11" s="16">
        <v>300</v>
      </c>
      <c r="D11" s="63">
        <f>SUM(【入力様式】イベント広場!P25,【入力様式】イベント広場!P35,【入力様式】イベント広場!P45,【入力様式】イベント広場!P55,【入力様式】イベント広場!P65)</f>
        <v>0</v>
      </c>
      <c r="E11" s="6" t="s">
        <v>52</v>
      </c>
      <c r="F11" s="19">
        <f t="shared" ref="F11" si="0">C11*D11</f>
        <v>0</v>
      </c>
    </row>
    <row r="12" spans="1:43" s="18" customFormat="1" ht="21.9" customHeight="1" thickBot="1">
      <c r="A12"/>
      <c r="B12" s="255" t="s">
        <v>54</v>
      </c>
      <c r="C12" s="256"/>
      <c r="D12" s="256"/>
      <c r="E12" s="257"/>
      <c r="F12" s="17">
        <f>SUM(F11:F11)</f>
        <v>0</v>
      </c>
      <c r="H12"/>
      <c r="I12"/>
      <c r="J12"/>
      <c r="K12"/>
      <c r="L12"/>
      <c r="M12"/>
      <c r="N12"/>
      <c r="O12"/>
      <c r="P12"/>
      <c r="Q12"/>
      <c r="R12"/>
      <c r="S12"/>
      <c r="T12"/>
      <c r="U12"/>
      <c r="V12"/>
      <c r="W12"/>
      <c r="X12"/>
      <c r="Y12"/>
      <c r="Z12"/>
      <c r="AA12"/>
      <c r="AB12"/>
      <c r="AC12"/>
      <c r="AD12"/>
      <c r="AE12"/>
      <c r="AF12"/>
      <c r="AG12"/>
      <c r="AH12"/>
      <c r="AI12"/>
      <c r="AJ12"/>
      <c r="AK12"/>
      <c r="AL12"/>
      <c r="AM12"/>
      <c r="AN12"/>
      <c r="AO12"/>
      <c r="AP12"/>
      <c r="AQ12"/>
    </row>
    <row r="13" spans="1:43" s="18" customFormat="1" ht="21.9" customHeight="1" thickBot="1">
      <c r="A13"/>
      <c r="B13"/>
      <c r="C13"/>
      <c r="D13"/>
      <c r="E13"/>
      <c r="F13"/>
      <c r="H13"/>
      <c r="I13"/>
      <c r="J13"/>
      <c r="K13"/>
      <c r="L13"/>
      <c r="M13"/>
      <c r="N13"/>
      <c r="O13"/>
      <c r="P13"/>
      <c r="Q13"/>
      <c r="R13"/>
      <c r="S13"/>
      <c r="T13"/>
      <c r="U13"/>
      <c r="V13"/>
      <c r="W13"/>
      <c r="X13"/>
      <c r="Y13"/>
      <c r="Z13"/>
      <c r="AA13"/>
      <c r="AB13"/>
      <c r="AC13"/>
      <c r="AD13"/>
      <c r="AE13"/>
      <c r="AF13"/>
      <c r="AG13"/>
      <c r="AH13"/>
      <c r="AI13"/>
      <c r="AJ13"/>
      <c r="AK13"/>
      <c r="AL13"/>
      <c r="AM13"/>
      <c r="AN13"/>
      <c r="AO13"/>
      <c r="AP13"/>
      <c r="AQ13"/>
    </row>
    <row r="14" spans="1:43" s="18" customFormat="1" ht="21.9" customHeight="1" thickBot="1">
      <c r="A14"/>
      <c r="B14" s="255" t="s">
        <v>180</v>
      </c>
      <c r="C14" s="256"/>
      <c r="D14" s="256"/>
      <c r="E14" s="257"/>
      <c r="F14" s="17">
        <f>SUM(F12,D8:D8)</f>
        <v>0</v>
      </c>
      <c r="H14"/>
      <c r="I14"/>
      <c r="J14"/>
      <c r="K14"/>
      <c r="L14"/>
      <c r="M14"/>
      <c r="N14"/>
      <c r="O14"/>
      <c r="P14"/>
      <c r="Q14"/>
      <c r="R14"/>
      <c r="S14"/>
      <c r="T14"/>
      <c r="U14"/>
      <c r="V14"/>
      <c r="W14"/>
      <c r="X14"/>
      <c r="Y14"/>
      <c r="Z14"/>
      <c r="AA14"/>
      <c r="AB14"/>
      <c r="AC14"/>
      <c r="AD14"/>
      <c r="AE14"/>
      <c r="AF14"/>
      <c r="AG14"/>
      <c r="AH14"/>
      <c r="AI14"/>
      <c r="AJ14"/>
      <c r="AK14"/>
      <c r="AL14"/>
      <c r="AM14"/>
      <c r="AN14"/>
      <c r="AO14"/>
      <c r="AP14"/>
      <c r="AQ14"/>
    </row>
    <row r="15" spans="1:43" s="18" customFormat="1" ht="21.9" customHeight="1">
      <c r="A15"/>
      <c r="B15"/>
      <c r="C15"/>
      <c r="D15"/>
      <c r="E15"/>
      <c r="F15"/>
      <c r="H15"/>
      <c r="I15"/>
      <c r="J15"/>
      <c r="K15"/>
      <c r="L15"/>
      <c r="M15"/>
      <c r="N15"/>
      <c r="O15"/>
      <c r="P15"/>
      <c r="Q15"/>
      <c r="R15"/>
      <c r="S15"/>
      <c r="T15"/>
      <c r="U15"/>
      <c r="V15"/>
      <c r="W15"/>
      <c r="X15"/>
      <c r="Y15"/>
      <c r="Z15"/>
      <c r="AA15"/>
      <c r="AB15"/>
      <c r="AC15"/>
      <c r="AD15"/>
      <c r="AE15"/>
      <c r="AF15"/>
      <c r="AG15"/>
      <c r="AH15"/>
      <c r="AI15"/>
      <c r="AJ15"/>
      <c r="AK15"/>
      <c r="AL15"/>
      <c r="AM15"/>
      <c r="AN15"/>
      <c r="AO15"/>
      <c r="AP15"/>
      <c r="AQ15"/>
    </row>
    <row r="16" spans="1:43" s="18" customFormat="1" ht="21.9" customHeight="1">
      <c r="A16"/>
      <c r="B16"/>
      <c r="C16"/>
      <c r="D16"/>
      <c r="E16"/>
      <c r="F16"/>
      <c r="H16"/>
      <c r="I16"/>
      <c r="J16"/>
      <c r="K16"/>
      <c r="L16"/>
      <c r="M16"/>
      <c r="N16"/>
      <c r="O16"/>
      <c r="P16"/>
      <c r="Q16"/>
      <c r="R16"/>
      <c r="S16"/>
      <c r="T16"/>
      <c r="U16"/>
      <c r="V16"/>
      <c r="W16"/>
      <c r="X16"/>
      <c r="Y16"/>
      <c r="Z16"/>
      <c r="AA16"/>
      <c r="AB16"/>
      <c r="AC16"/>
      <c r="AD16"/>
      <c r="AE16"/>
      <c r="AF16"/>
      <c r="AG16"/>
      <c r="AH16"/>
      <c r="AI16"/>
      <c r="AJ16"/>
      <c r="AK16"/>
      <c r="AL16"/>
      <c r="AM16"/>
      <c r="AN16"/>
      <c r="AO16"/>
      <c r="AP16"/>
      <c r="AQ16"/>
    </row>
    <row r="17" spans="1:43" s="18" customFormat="1" ht="21.9" customHeight="1">
      <c r="A17"/>
      <c r="B17"/>
      <c r="C17"/>
      <c r="D17"/>
      <c r="E17"/>
      <c r="F17"/>
      <c r="H17"/>
      <c r="I17"/>
      <c r="J17"/>
      <c r="K17"/>
      <c r="L17"/>
      <c r="M17"/>
      <c r="N17"/>
      <c r="O17"/>
      <c r="P17"/>
      <c r="Q17"/>
      <c r="R17"/>
      <c r="S17"/>
      <c r="T17"/>
      <c r="U17"/>
      <c r="V17"/>
      <c r="W17"/>
      <c r="X17"/>
      <c r="Y17"/>
      <c r="Z17"/>
      <c r="AA17"/>
      <c r="AB17"/>
      <c r="AC17"/>
      <c r="AD17"/>
      <c r="AE17"/>
      <c r="AF17"/>
      <c r="AG17"/>
      <c r="AH17"/>
      <c r="AI17"/>
      <c r="AJ17"/>
      <c r="AK17"/>
      <c r="AL17"/>
      <c r="AM17"/>
      <c r="AN17"/>
      <c r="AO17"/>
      <c r="AP17"/>
      <c r="AQ17"/>
    </row>
    <row r="18" spans="1:43" s="18" customFormat="1" ht="21.9" customHeight="1">
      <c r="A18"/>
      <c r="B18"/>
      <c r="C18"/>
      <c r="D18"/>
      <c r="E18"/>
      <c r="F18"/>
      <c r="H18"/>
      <c r="I18"/>
      <c r="J18"/>
      <c r="K18"/>
      <c r="L18"/>
      <c r="M18"/>
      <c r="N18"/>
      <c r="O18"/>
      <c r="P18"/>
      <c r="Q18"/>
      <c r="R18"/>
      <c r="S18"/>
      <c r="T18"/>
      <c r="U18"/>
      <c r="V18"/>
      <c r="W18"/>
      <c r="X18"/>
      <c r="Y18"/>
      <c r="Z18"/>
      <c r="AA18"/>
      <c r="AB18"/>
      <c r="AC18"/>
      <c r="AD18"/>
      <c r="AE18"/>
      <c r="AF18"/>
      <c r="AG18"/>
      <c r="AH18"/>
      <c r="AI18"/>
      <c r="AJ18"/>
      <c r="AK18"/>
      <c r="AL18"/>
      <c r="AM18"/>
      <c r="AN18"/>
      <c r="AO18"/>
      <c r="AP18"/>
      <c r="AQ18"/>
    </row>
    <row r="19" spans="1:43" s="18" customFormat="1" ht="21.9" customHeight="1">
      <c r="A19"/>
      <c r="B19"/>
      <c r="C19"/>
      <c r="D19"/>
      <c r="E19"/>
      <c r="F19"/>
      <c r="H19"/>
      <c r="I19"/>
      <c r="J19"/>
      <c r="K19"/>
      <c r="L19"/>
      <c r="M19"/>
      <c r="N19"/>
      <c r="O19"/>
      <c r="P19"/>
      <c r="Q19"/>
      <c r="R19"/>
      <c r="S19"/>
      <c r="T19"/>
      <c r="U19"/>
      <c r="V19"/>
      <c r="W19"/>
      <c r="X19"/>
      <c r="Y19"/>
      <c r="Z19"/>
      <c r="AA19"/>
      <c r="AB19"/>
      <c r="AC19"/>
      <c r="AD19"/>
      <c r="AE19"/>
      <c r="AF19"/>
      <c r="AG19"/>
      <c r="AH19"/>
      <c r="AI19"/>
      <c r="AJ19"/>
      <c r="AK19"/>
      <c r="AL19"/>
      <c r="AM19"/>
      <c r="AN19"/>
      <c r="AO19"/>
      <c r="AP19"/>
      <c r="AQ19"/>
    </row>
    <row r="20" spans="1:43" s="18" customFormat="1" ht="21.9" customHeight="1">
      <c r="A20"/>
      <c r="B20"/>
      <c r="C20"/>
      <c r="D20"/>
      <c r="E20"/>
      <c r="F20"/>
      <c r="H20"/>
      <c r="I20"/>
      <c r="J20"/>
      <c r="K20"/>
      <c r="L20"/>
      <c r="M20"/>
      <c r="N20"/>
      <c r="O20"/>
      <c r="P20"/>
      <c r="Q20"/>
      <c r="R20"/>
      <c r="S20"/>
      <c r="T20"/>
      <c r="U20"/>
      <c r="V20"/>
      <c r="W20"/>
      <c r="X20"/>
      <c r="Y20"/>
      <c r="Z20"/>
      <c r="AA20"/>
      <c r="AB20"/>
      <c r="AC20"/>
      <c r="AD20"/>
      <c r="AE20"/>
      <c r="AF20"/>
      <c r="AG20"/>
      <c r="AH20"/>
      <c r="AI20"/>
      <c r="AJ20"/>
      <c r="AK20"/>
      <c r="AL20"/>
      <c r="AM20"/>
      <c r="AN20"/>
      <c r="AO20"/>
      <c r="AP20"/>
      <c r="AQ20"/>
    </row>
    <row r="30" spans="1:43" ht="21.9" customHeight="1">
      <c r="Q30" s="18"/>
      <c r="R30" s="18"/>
      <c r="S30" s="18"/>
    </row>
  </sheetData>
  <sheetProtection algorithmName="SHA-512" hashValue="/GXLoINSdkNRS6NEsuNed/MYsRuzLItuw7WSN9uVPcZSbVrLcJEnPeR7DMjQOkqaY0jxUAtP/1OZks65G39xEQ==" saltValue="Szvr9TV+5B+IbkqhM9ij/A==" spinCount="100000" sheet="1"/>
  <mergeCells count="4">
    <mergeCell ref="D2:E2"/>
    <mergeCell ref="B8:C8"/>
    <mergeCell ref="B12:E12"/>
    <mergeCell ref="B14:E14"/>
  </mergeCells>
  <phoneticPr fontId="2"/>
  <conditionalFormatting sqref="B3">
    <cfRule type="expression" dxfId="22" priority="14">
      <formula>$B$3=DATE(1900,1,0)</formula>
    </cfRule>
  </conditionalFormatting>
  <conditionalFormatting sqref="B4">
    <cfRule type="expression" dxfId="21" priority="11">
      <formula>$B$4=DATE(1900,1,0)</formula>
    </cfRule>
  </conditionalFormatting>
  <conditionalFormatting sqref="B5">
    <cfRule type="expression" dxfId="20" priority="12">
      <formula>$B$5=DATE(1900,1,0)</formula>
    </cfRule>
  </conditionalFormatting>
  <conditionalFormatting sqref="B6">
    <cfRule type="expression" dxfId="19" priority="13">
      <formula>$B$6=DATE(1900,1,0)</formula>
    </cfRule>
  </conditionalFormatting>
  <conditionalFormatting sqref="B7">
    <cfRule type="expression" dxfId="18" priority="15">
      <formula>$B$7=DATE(1900,1,0)</formula>
    </cfRule>
  </conditionalFormatting>
  <conditionalFormatting sqref="C3">
    <cfRule type="expression" dxfId="17" priority="10">
      <formula>$C$3=0</formula>
    </cfRule>
  </conditionalFormatting>
  <conditionalFormatting sqref="C4">
    <cfRule type="expression" dxfId="16" priority="6">
      <formula>$C$4=0</formula>
    </cfRule>
  </conditionalFormatting>
  <conditionalFormatting sqref="C5">
    <cfRule type="expression" dxfId="15" priority="7">
      <formula>$C$5=0</formula>
    </cfRule>
  </conditionalFormatting>
  <conditionalFormatting sqref="C6">
    <cfRule type="expression" dxfId="14" priority="8">
      <formula>$C$6=0</formula>
    </cfRule>
  </conditionalFormatting>
  <conditionalFormatting sqref="C7">
    <cfRule type="expression" dxfId="13" priority="9">
      <formula>$C$7=0</formula>
    </cfRule>
  </conditionalFormatting>
  <conditionalFormatting sqref="D3">
    <cfRule type="expression" dxfId="12" priority="5">
      <formula>$D$3=0</formula>
    </cfRule>
  </conditionalFormatting>
  <conditionalFormatting sqref="D4">
    <cfRule type="expression" dxfId="11" priority="1">
      <formula>$D$4=0</formula>
    </cfRule>
  </conditionalFormatting>
  <conditionalFormatting sqref="D5">
    <cfRule type="expression" dxfId="10" priority="2">
      <formula>$D$5=0</formula>
    </cfRule>
  </conditionalFormatting>
  <conditionalFormatting sqref="D6">
    <cfRule type="expression" dxfId="9" priority="3">
      <formula>$D$6=0</formula>
    </cfRule>
  </conditionalFormatting>
  <conditionalFormatting sqref="D7">
    <cfRule type="expression" dxfId="8" priority="4">
      <formula>$D$7=0</formula>
    </cfRule>
  </conditionalFormatting>
  <pageMargins left="0.25" right="0.25"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019B8-770B-4C41-A572-D1CBBA2BE2AD}">
  <sheetPr>
    <tabColor rgb="FFFF0000"/>
  </sheetPr>
  <dimension ref="A1:K27"/>
  <sheetViews>
    <sheetView showGridLines="0" view="pageBreakPreview" topLeftCell="A15" zoomScale="85" zoomScaleNormal="60" zoomScaleSheetLayoutView="85" workbookViewId="0">
      <selection activeCell="G25" sqref="G25"/>
    </sheetView>
  </sheetViews>
  <sheetFormatPr defaultColWidth="8.59765625" defaultRowHeight="13.2"/>
  <cols>
    <col min="1" max="1" width="8.59765625" style="33"/>
    <col min="2" max="2" width="4.296875" style="33" customWidth="1"/>
    <col min="3" max="3" width="10.09765625" style="33" customWidth="1"/>
    <col min="4" max="4" width="5.296875" style="33" customWidth="1"/>
    <col min="5" max="5" width="12.296875" style="33" customWidth="1"/>
    <col min="6" max="6" width="8.59765625" style="33"/>
    <col min="7" max="7" width="4.19921875" style="33" customWidth="1"/>
    <col min="8" max="8" width="8.59765625" style="33"/>
    <col min="9" max="9" width="4.19921875" style="33" customWidth="1"/>
    <col min="10" max="10" width="10.796875" style="33" customWidth="1"/>
    <col min="11" max="16384" width="8.59765625" style="33"/>
  </cols>
  <sheetData>
    <row r="1" spans="1:10" ht="18" customHeight="1">
      <c r="A1" s="33" t="s">
        <v>141</v>
      </c>
    </row>
    <row r="2" spans="1:10" ht="33.6" customHeight="1">
      <c r="A2" s="262" t="s">
        <v>142</v>
      </c>
      <c r="B2" s="262"/>
      <c r="C2" s="262"/>
      <c r="D2" s="262"/>
      <c r="E2" s="262"/>
      <c r="F2" s="262"/>
      <c r="G2" s="262"/>
      <c r="H2" s="262"/>
      <c r="I2" s="262"/>
      <c r="J2" s="262"/>
    </row>
    <row r="3" spans="1:10" ht="22.5" customHeight="1">
      <c r="H3" s="263">
        <f>【入力様式】イベント広場!C2</f>
        <v>45930</v>
      </c>
      <c r="I3" s="264"/>
      <c r="J3" s="264"/>
    </row>
    <row r="5" spans="1:10" ht="20.55" customHeight="1">
      <c r="A5" s="33" t="s">
        <v>143</v>
      </c>
    </row>
    <row r="7" spans="1:10" ht="21" customHeight="1">
      <c r="C7" s="265" t="s">
        <v>144</v>
      </c>
      <c r="D7" s="265"/>
      <c r="E7" s="264" t="str">
        <f>【入力様式】イベント広場!C5</f>
        <v>○○市○○区○○町111-11</v>
      </c>
      <c r="F7" s="264"/>
      <c r="G7" s="264"/>
      <c r="H7" s="264"/>
      <c r="I7" s="264"/>
      <c r="J7" s="264"/>
    </row>
    <row r="8" spans="1:10" ht="21" customHeight="1">
      <c r="C8" s="265" t="s">
        <v>145</v>
      </c>
      <c r="D8" s="265"/>
      <c r="E8" s="264" t="str">
        <f>【入力様式】イベント広場!C3</f>
        <v>■■■■株式会社</v>
      </c>
      <c r="F8" s="264"/>
      <c r="G8" s="264"/>
      <c r="H8" s="264"/>
      <c r="I8" s="264"/>
      <c r="J8" s="264"/>
    </row>
    <row r="9" spans="1:10" ht="21" customHeight="1">
      <c r="C9" s="265" t="s">
        <v>146</v>
      </c>
      <c r="D9" s="265"/>
      <c r="E9" s="264" t="str">
        <f>【入力様式】イベント広場!C6</f>
        <v>△△　△△</v>
      </c>
      <c r="F9" s="264"/>
      <c r="G9" s="264"/>
      <c r="H9" s="264"/>
      <c r="I9" s="264"/>
      <c r="J9" s="264"/>
    </row>
    <row r="10" spans="1:10" ht="21" customHeight="1">
      <c r="C10" s="265" t="s">
        <v>147</v>
      </c>
      <c r="D10" s="265"/>
      <c r="E10" s="264" t="str">
        <f>【入力様式】イベント広場!C7</f>
        <v>▲▲　▲▲</v>
      </c>
      <c r="F10" s="264"/>
      <c r="G10" s="34"/>
      <c r="H10" s="33" t="s">
        <v>148</v>
      </c>
      <c r="I10" s="264" t="str">
        <f>【入力様式】イベント広場!C8</f>
        <v>096-123-1234</v>
      </c>
      <c r="J10" s="264"/>
    </row>
    <row r="12" spans="1:10" ht="19.05" customHeight="1">
      <c r="A12" s="260" t="s">
        <v>149</v>
      </c>
      <c r="B12" s="261"/>
      <c r="C12" s="261"/>
      <c r="D12" s="261"/>
      <c r="E12" s="261"/>
      <c r="F12" s="261"/>
      <c r="G12" s="261"/>
      <c r="H12" s="261"/>
      <c r="I12" s="261"/>
      <c r="J12" s="261"/>
    </row>
    <row r="13" spans="1:10" ht="19.05" customHeight="1">
      <c r="A13" s="261"/>
      <c r="B13" s="261"/>
      <c r="C13" s="261"/>
      <c r="D13" s="261"/>
      <c r="E13" s="261"/>
      <c r="F13" s="261"/>
      <c r="G13" s="261"/>
      <c r="H13" s="261"/>
      <c r="I13" s="261"/>
      <c r="J13" s="261"/>
    </row>
    <row r="15" spans="1:10" ht="44.55" customHeight="1">
      <c r="A15" s="35" t="s">
        <v>150</v>
      </c>
      <c r="B15" s="266" t="str">
        <f>【入力様式】イベント広場!C10</f>
        <v>●●イベント</v>
      </c>
      <c r="C15" s="266"/>
      <c r="D15" s="266"/>
      <c r="E15" s="266"/>
      <c r="F15" s="266"/>
      <c r="G15" s="266"/>
      <c r="H15" s="266"/>
      <c r="I15" s="266"/>
      <c r="J15" s="267"/>
    </row>
    <row r="16" spans="1:10" ht="57.6" customHeight="1">
      <c r="A16" s="35" t="s">
        <v>151</v>
      </c>
      <c r="B16" s="266" t="str">
        <f>【入力様式】イベント広場!C11</f>
        <v>●●向けのイベントを開催する</v>
      </c>
      <c r="C16" s="266"/>
      <c r="D16" s="266"/>
      <c r="E16" s="266"/>
      <c r="F16" s="266"/>
      <c r="G16" s="266"/>
      <c r="H16" s="266"/>
      <c r="I16" s="266"/>
      <c r="J16" s="267"/>
    </row>
    <row r="17" spans="1:11" ht="24" customHeight="1">
      <c r="A17" s="268" t="s">
        <v>152</v>
      </c>
      <c r="B17" s="168"/>
      <c r="C17" s="169"/>
      <c r="D17" s="169"/>
      <c r="E17" s="271">
        <f>【入力様式】イベント広場!C12</f>
        <v>0</v>
      </c>
      <c r="F17" s="271"/>
      <c r="G17" s="272" t="s">
        <v>231</v>
      </c>
      <c r="H17" s="272"/>
      <c r="I17" s="166"/>
      <c r="J17" s="167"/>
    </row>
    <row r="18" spans="1:11" ht="24" customHeight="1">
      <c r="A18" s="269"/>
      <c r="B18" s="170"/>
      <c r="C18" s="171"/>
      <c r="D18" s="171"/>
      <c r="E18" s="273">
        <f>【入力様式】イベント広場!C13</f>
        <v>0</v>
      </c>
      <c r="F18" s="273"/>
      <c r="G18" s="171"/>
      <c r="H18" s="171" t="s">
        <v>232</v>
      </c>
      <c r="I18" s="171"/>
      <c r="J18" s="172"/>
    </row>
    <row r="19" spans="1:11" ht="24" customHeight="1">
      <c r="A19" s="270"/>
      <c r="B19" s="173"/>
      <c r="C19" s="174"/>
      <c r="D19" s="174"/>
      <c r="E19" s="174">
        <f>【入力様式】イベント広場!E14</f>
        <v>1</v>
      </c>
      <c r="F19" s="174" t="s">
        <v>233</v>
      </c>
      <c r="G19" s="174"/>
      <c r="H19" s="174"/>
      <c r="I19" s="174"/>
      <c r="J19" s="175"/>
    </row>
    <row r="20" spans="1:11" ht="36.6" customHeight="1">
      <c r="A20" s="36" t="s">
        <v>153</v>
      </c>
      <c r="B20" s="266"/>
      <c r="C20" s="266"/>
      <c r="D20" s="266"/>
      <c r="E20" s="266"/>
      <c r="F20" s="266"/>
      <c r="G20" s="266"/>
      <c r="H20" s="266"/>
      <c r="I20" s="266"/>
      <c r="J20" s="267"/>
    </row>
    <row r="21" spans="1:11" ht="29.1" customHeight="1">
      <c r="A21" s="36" t="s">
        <v>154</v>
      </c>
      <c r="B21" s="40">
        <v>1</v>
      </c>
      <c r="C21" s="41" t="s">
        <v>158</v>
      </c>
      <c r="D21" s="42">
        <v>2</v>
      </c>
      <c r="E21" s="43" t="s">
        <v>34</v>
      </c>
      <c r="F21" s="37" t="s">
        <v>155</v>
      </c>
      <c r="G21" s="276">
        <f>【入力様式】イベント広場!C15</f>
        <v>0</v>
      </c>
      <c r="H21" s="276"/>
      <c r="I21" s="276"/>
      <c r="J21" s="38" t="s">
        <v>156</v>
      </c>
    </row>
    <row r="22" spans="1:11" ht="31.5" customHeight="1" thickBot="1">
      <c r="A22" s="39" t="s">
        <v>157</v>
      </c>
      <c r="B22" s="40">
        <v>1</v>
      </c>
      <c r="C22" s="41" t="s">
        <v>172</v>
      </c>
      <c r="D22" s="42">
        <v>2</v>
      </c>
      <c r="E22" s="43" t="s">
        <v>173</v>
      </c>
      <c r="F22" s="44" t="s">
        <v>159</v>
      </c>
      <c r="G22" s="42">
        <v>1</v>
      </c>
      <c r="H22" s="41" t="s">
        <v>160</v>
      </c>
      <c r="I22" s="42">
        <v>2</v>
      </c>
      <c r="J22" s="45" t="s">
        <v>161</v>
      </c>
    </row>
    <row r="23" spans="1:11" ht="31.5" customHeight="1">
      <c r="A23" s="46" t="s">
        <v>162</v>
      </c>
      <c r="B23" s="277">
        <f>【通常】明細※入力不要!D8</f>
        <v>0</v>
      </c>
      <c r="C23" s="278"/>
      <c r="D23" s="278"/>
      <c r="E23" s="47" t="s">
        <v>163</v>
      </c>
      <c r="F23" s="48" t="s">
        <v>164</v>
      </c>
      <c r="G23" s="279">
        <f>【通常】明細※入力不要!F12</f>
        <v>0</v>
      </c>
      <c r="H23" s="280"/>
      <c r="I23" s="280"/>
      <c r="J23" s="49" t="s">
        <v>163</v>
      </c>
    </row>
    <row r="24" spans="1:11" ht="31.5" customHeight="1" thickBot="1">
      <c r="A24" s="50" t="s">
        <v>165</v>
      </c>
      <c r="B24" s="281"/>
      <c r="C24" s="282"/>
      <c r="D24" s="282"/>
      <c r="E24" s="45" t="s">
        <v>163</v>
      </c>
      <c r="F24" s="51" t="s">
        <v>166</v>
      </c>
      <c r="G24" s="283">
        <f>B23+G23</f>
        <v>0</v>
      </c>
      <c r="H24" s="283"/>
      <c r="I24" s="283"/>
      <c r="J24" s="52" t="s">
        <v>163</v>
      </c>
    </row>
    <row r="25" spans="1:11" ht="31.5" customHeight="1" thickBot="1">
      <c r="A25" s="53" t="s">
        <v>167</v>
      </c>
      <c r="B25" s="54">
        <v>1</v>
      </c>
      <c r="C25" s="55" t="s">
        <v>168</v>
      </c>
      <c r="D25" s="54">
        <v>2</v>
      </c>
      <c r="E25" s="55" t="s">
        <v>169</v>
      </c>
      <c r="F25" s="56"/>
      <c r="G25" s="57"/>
      <c r="H25" s="57"/>
      <c r="I25" s="57"/>
      <c r="J25" s="57"/>
      <c r="K25" s="58"/>
    </row>
    <row r="26" spans="1:11" ht="71.55" customHeight="1">
      <c r="A26" s="59" t="s">
        <v>170</v>
      </c>
      <c r="B26" s="274"/>
      <c r="C26" s="274"/>
      <c r="D26" s="274"/>
      <c r="E26" s="274"/>
      <c r="F26" s="274"/>
      <c r="G26" s="274"/>
      <c r="H26" s="274"/>
      <c r="I26" s="274"/>
      <c r="J26" s="275"/>
    </row>
    <row r="27" spans="1:11" ht="17.100000000000001" customHeight="1">
      <c r="A27" s="60" t="s">
        <v>171</v>
      </c>
    </row>
  </sheetData>
  <mergeCells count="25">
    <mergeCell ref="B26:J26"/>
    <mergeCell ref="B20:J20"/>
    <mergeCell ref="G21:I21"/>
    <mergeCell ref="B23:D23"/>
    <mergeCell ref="G23:I23"/>
    <mergeCell ref="B24:D24"/>
    <mergeCell ref="G24:I24"/>
    <mergeCell ref="B15:J15"/>
    <mergeCell ref="B16:J16"/>
    <mergeCell ref="A17:A19"/>
    <mergeCell ref="E17:F17"/>
    <mergeCell ref="G17:H17"/>
    <mergeCell ref="E18:F18"/>
    <mergeCell ref="A12:J13"/>
    <mergeCell ref="A2:J2"/>
    <mergeCell ref="H3:J3"/>
    <mergeCell ref="C7:D7"/>
    <mergeCell ref="E7:J7"/>
    <mergeCell ref="C8:D8"/>
    <mergeCell ref="E8:J8"/>
    <mergeCell ref="C9:D9"/>
    <mergeCell ref="E9:J9"/>
    <mergeCell ref="C10:D10"/>
    <mergeCell ref="E10:F10"/>
    <mergeCell ref="I10:J10"/>
  </mergeCells>
  <phoneticPr fontId="2"/>
  <conditionalFormatting sqref="E17:F17">
    <cfRule type="expression" dxfId="7" priority="2">
      <formula>$E$17=DATE(1900,1,0)</formula>
    </cfRule>
  </conditionalFormatting>
  <conditionalFormatting sqref="E18:F18">
    <cfRule type="expression" dxfId="6" priority="1">
      <formula>$E$18=DATE(1900,1,0)</formula>
    </cfRule>
  </conditionalFormatting>
  <pageMargins left="0.7" right="0.4" top="0.75" bottom="0.46"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07574-20CD-4231-8ABF-A12DA2016BFE}">
  <sheetPr>
    <tabColor rgb="FFFF0000"/>
  </sheetPr>
  <dimension ref="A1:K27"/>
  <sheetViews>
    <sheetView showGridLines="0" view="pageBreakPreview" topLeftCell="A16" zoomScale="85" zoomScaleNormal="60" zoomScaleSheetLayoutView="85" workbookViewId="0">
      <selection activeCell="G24" sqref="G24:I24"/>
    </sheetView>
  </sheetViews>
  <sheetFormatPr defaultColWidth="8.59765625" defaultRowHeight="13.2"/>
  <cols>
    <col min="1" max="1" width="8.59765625" style="33"/>
    <col min="2" max="2" width="4.296875" style="33" customWidth="1"/>
    <col min="3" max="3" width="10.09765625" style="33" customWidth="1"/>
    <col min="4" max="4" width="5.296875" style="33" customWidth="1"/>
    <col min="5" max="5" width="12.296875" style="33" customWidth="1"/>
    <col min="6" max="6" width="8.59765625" style="33"/>
    <col min="7" max="7" width="4.19921875" style="33" customWidth="1"/>
    <col min="8" max="8" width="8.59765625" style="33"/>
    <col min="9" max="9" width="4.19921875" style="33" customWidth="1"/>
    <col min="10" max="10" width="10.796875" style="33" customWidth="1"/>
    <col min="11" max="16384" width="8.59765625" style="33"/>
  </cols>
  <sheetData>
    <row r="1" spans="1:10" ht="18" customHeight="1">
      <c r="A1" s="33" t="s">
        <v>141</v>
      </c>
    </row>
    <row r="2" spans="1:10" ht="33.6" customHeight="1">
      <c r="A2" s="262" t="s">
        <v>142</v>
      </c>
      <c r="B2" s="262"/>
      <c r="C2" s="262"/>
      <c r="D2" s="262"/>
      <c r="E2" s="262"/>
      <c r="F2" s="262"/>
      <c r="G2" s="262"/>
      <c r="H2" s="262"/>
      <c r="I2" s="262"/>
      <c r="J2" s="262"/>
    </row>
    <row r="3" spans="1:10" ht="22.5" customHeight="1">
      <c r="H3" s="263">
        <f>【入力様式】イベント広場!C2</f>
        <v>45930</v>
      </c>
      <c r="I3" s="264"/>
      <c r="J3" s="264"/>
    </row>
    <row r="5" spans="1:10" ht="20.55" customHeight="1">
      <c r="A5" s="33" t="s">
        <v>143</v>
      </c>
    </row>
    <row r="7" spans="1:10" ht="21" customHeight="1">
      <c r="C7" s="265" t="s">
        <v>144</v>
      </c>
      <c r="D7" s="265"/>
      <c r="E7" s="264" t="str">
        <f>【入力様式】イベント広場!C5</f>
        <v>○○市○○区○○町111-11</v>
      </c>
      <c r="F7" s="264"/>
      <c r="G7" s="264"/>
      <c r="H7" s="264"/>
      <c r="I7" s="264"/>
      <c r="J7" s="264"/>
    </row>
    <row r="8" spans="1:10" ht="21" customHeight="1">
      <c r="C8" s="265" t="s">
        <v>145</v>
      </c>
      <c r="D8" s="265"/>
      <c r="E8" s="264" t="str">
        <f>【入力様式】イベント広場!C3</f>
        <v>■■■■株式会社</v>
      </c>
      <c r="F8" s="264"/>
      <c r="G8" s="264"/>
      <c r="H8" s="264"/>
      <c r="I8" s="264"/>
      <c r="J8" s="264"/>
    </row>
    <row r="9" spans="1:10" ht="21" customHeight="1">
      <c r="C9" s="265" t="s">
        <v>146</v>
      </c>
      <c r="D9" s="265"/>
      <c r="E9" s="264" t="str">
        <f>【入力様式】イベント広場!C6</f>
        <v>△△　△△</v>
      </c>
      <c r="F9" s="264"/>
      <c r="G9" s="264"/>
      <c r="H9" s="264"/>
      <c r="I9" s="264"/>
      <c r="J9" s="264"/>
    </row>
    <row r="10" spans="1:10" ht="21" customHeight="1">
      <c r="C10" s="265" t="s">
        <v>147</v>
      </c>
      <c r="D10" s="265"/>
      <c r="E10" s="264" t="str">
        <f>【入力様式】イベント広場!C7</f>
        <v>▲▲　▲▲</v>
      </c>
      <c r="F10" s="264"/>
      <c r="G10" s="34"/>
      <c r="H10" s="33" t="s">
        <v>148</v>
      </c>
      <c r="I10" s="264" t="str">
        <f>【入力様式】イベント広場!C8</f>
        <v>096-123-1234</v>
      </c>
      <c r="J10" s="264"/>
    </row>
    <row r="12" spans="1:10" ht="19.05" customHeight="1">
      <c r="A12" s="260" t="s">
        <v>149</v>
      </c>
      <c r="B12" s="261"/>
      <c r="C12" s="261"/>
      <c r="D12" s="261"/>
      <c r="E12" s="261"/>
      <c r="F12" s="261"/>
      <c r="G12" s="261"/>
      <c r="H12" s="261"/>
      <c r="I12" s="261"/>
      <c r="J12" s="261"/>
    </row>
    <row r="13" spans="1:10" ht="19.05" customHeight="1">
      <c r="A13" s="261"/>
      <c r="B13" s="261"/>
      <c r="C13" s="261"/>
      <c r="D13" s="261"/>
      <c r="E13" s="261"/>
      <c r="F13" s="261"/>
      <c r="G13" s="261"/>
      <c r="H13" s="261"/>
      <c r="I13" s="261"/>
      <c r="J13" s="261"/>
    </row>
    <row r="15" spans="1:10" ht="44.55" customHeight="1">
      <c r="A15" s="35" t="s">
        <v>150</v>
      </c>
      <c r="B15" s="266" t="str">
        <f>【入力様式】イベント広場!C10</f>
        <v>●●イベント</v>
      </c>
      <c r="C15" s="266"/>
      <c r="D15" s="266"/>
      <c r="E15" s="266"/>
      <c r="F15" s="266"/>
      <c r="G15" s="266"/>
      <c r="H15" s="266"/>
      <c r="I15" s="266"/>
      <c r="J15" s="267"/>
    </row>
    <row r="16" spans="1:10" ht="57.6" customHeight="1">
      <c r="A16" s="35" t="s">
        <v>151</v>
      </c>
      <c r="B16" s="266" t="str">
        <f>【入力様式】イベント広場!C11</f>
        <v>●●向けのイベントを開催する</v>
      </c>
      <c r="C16" s="266"/>
      <c r="D16" s="266"/>
      <c r="E16" s="266"/>
      <c r="F16" s="266"/>
      <c r="G16" s="266"/>
      <c r="H16" s="266"/>
      <c r="I16" s="266"/>
      <c r="J16" s="267"/>
    </row>
    <row r="17" spans="1:11" ht="24" customHeight="1">
      <c r="A17" s="268" t="s">
        <v>152</v>
      </c>
      <c r="B17" s="168"/>
      <c r="C17" s="169"/>
      <c r="D17" s="169"/>
      <c r="E17" s="271">
        <f>【入力様式】イベント広場!C12</f>
        <v>0</v>
      </c>
      <c r="F17" s="271"/>
      <c r="G17" s="272" t="s">
        <v>174</v>
      </c>
      <c r="H17" s="272"/>
      <c r="I17" s="166"/>
      <c r="J17" s="167"/>
    </row>
    <row r="18" spans="1:11" ht="24" customHeight="1">
      <c r="A18" s="269"/>
      <c r="B18" s="170"/>
      <c r="C18" s="171"/>
      <c r="D18" s="171"/>
      <c r="E18" s="273">
        <f>【入力様式】イベント広場!C13</f>
        <v>0</v>
      </c>
      <c r="F18" s="273"/>
      <c r="G18" s="171"/>
      <c r="H18" s="171" t="s">
        <v>175</v>
      </c>
      <c r="I18" s="171"/>
      <c r="J18" s="172"/>
    </row>
    <row r="19" spans="1:11" ht="24" customHeight="1">
      <c r="A19" s="270"/>
      <c r="B19" s="173"/>
      <c r="C19" s="174"/>
      <c r="D19" s="174"/>
      <c r="E19" s="174">
        <f>【入力様式】イベント広場!E14</f>
        <v>1</v>
      </c>
      <c r="F19" s="174" t="s">
        <v>218</v>
      </c>
      <c r="G19" s="174"/>
      <c r="H19" s="174"/>
      <c r="I19" s="174"/>
      <c r="J19" s="175"/>
    </row>
    <row r="20" spans="1:11" ht="36.6" customHeight="1">
      <c r="A20" s="36" t="s">
        <v>153</v>
      </c>
      <c r="B20" s="266"/>
      <c r="C20" s="266"/>
      <c r="D20" s="266"/>
      <c r="E20" s="266"/>
      <c r="F20" s="266"/>
      <c r="G20" s="266"/>
      <c r="H20" s="266"/>
      <c r="I20" s="266"/>
      <c r="J20" s="267"/>
    </row>
    <row r="21" spans="1:11" ht="29.1" customHeight="1">
      <c r="A21" s="36" t="s">
        <v>154</v>
      </c>
      <c r="B21" s="40">
        <v>1</v>
      </c>
      <c r="C21" s="41" t="s">
        <v>158</v>
      </c>
      <c r="D21" s="42">
        <v>2</v>
      </c>
      <c r="E21" s="43" t="s">
        <v>34</v>
      </c>
      <c r="F21" s="37" t="s">
        <v>155</v>
      </c>
      <c r="G21" s="276">
        <f>【入力様式】イベント広場!C15</f>
        <v>0</v>
      </c>
      <c r="H21" s="276"/>
      <c r="I21" s="276"/>
      <c r="J21" s="38" t="s">
        <v>156</v>
      </c>
    </row>
    <row r="22" spans="1:11" ht="31.5" customHeight="1" thickBot="1">
      <c r="A22" s="39" t="s">
        <v>157</v>
      </c>
      <c r="B22" s="40">
        <v>1</v>
      </c>
      <c r="C22" s="41" t="s">
        <v>172</v>
      </c>
      <c r="D22" s="42">
        <v>2</v>
      </c>
      <c r="E22" s="43" t="s">
        <v>173</v>
      </c>
      <c r="F22" s="44" t="s">
        <v>159</v>
      </c>
      <c r="G22" s="42">
        <v>1</v>
      </c>
      <c r="H22" s="41" t="s">
        <v>160</v>
      </c>
      <c r="I22" s="42">
        <v>2</v>
      </c>
      <c r="J22" s="45" t="s">
        <v>161</v>
      </c>
    </row>
    <row r="23" spans="1:11" ht="31.5" customHeight="1">
      <c r="A23" s="46" t="s">
        <v>162</v>
      </c>
      <c r="B23" s="277">
        <f>【営利用】明細※入力不要!D8</f>
        <v>0</v>
      </c>
      <c r="C23" s="278"/>
      <c r="D23" s="278"/>
      <c r="E23" s="47" t="s">
        <v>163</v>
      </c>
      <c r="F23" s="48" t="s">
        <v>164</v>
      </c>
      <c r="G23" s="279">
        <f>【営利用】明細※入力不要!F12</f>
        <v>0</v>
      </c>
      <c r="H23" s="280"/>
      <c r="I23" s="280"/>
      <c r="J23" s="49" t="s">
        <v>163</v>
      </c>
    </row>
    <row r="24" spans="1:11" ht="31.5" customHeight="1" thickBot="1">
      <c r="A24" s="50" t="s">
        <v>165</v>
      </c>
      <c r="B24" s="281"/>
      <c r="C24" s="282"/>
      <c r="D24" s="282"/>
      <c r="E24" s="45" t="s">
        <v>163</v>
      </c>
      <c r="F24" s="51" t="s">
        <v>166</v>
      </c>
      <c r="G24" s="283">
        <f>B23+G23</f>
        <v>0</v>
      </c>
      <c r="H24" s="283"/>
      <c r="I24" s="283"/>
      <c r="J24" s="52" t="s">
        <v>163</v>
      </c>
    </row>
    <row r="25" spans="1:11" ht="31.5" customHeight="1" thickBot="1">
      <c r="A25" s="53" t="s">
        <v>167</v>
      </c>
      <c r="B25" s="54">
        <v>1</v>
      </c>
      <c r="C25" s="55" t="s">
        <v>168</v>
      </c>
      <c r="D25" s="54">
        <v>2</v>
      </c>
      <c r="E25" s="55" t="s">
        <v>169</v>
      </c>
      <c r="F25" s="56"/>
      <c r="G25" s="57"/>
      <c r="H25" s="57"/>
      <c r="I25" s="57"/>
      <c r="J25" s="57"/>
      <c r="K25" s="58"/>
    </row>
    <row r="26" spans="1:11" ht="71.55" customHeight="1">
      <c r="A26" s="59" t="s">
        <v>170</v>
      </c>
      <c r="B26" s="274"/>
      <c r="C26" s="274"/>
      <c r="D26" s="274"/>
      <c r="E26" s="274"/>
      <c r="F26" s="274"/>
      <c r="G26" s="274"/>
      <c r="H26" s="274"/>
      <c r="I26" s="274"/>
      <c r="J26" s="275"/>
    </row>
    <row r="27" spans="1:11" ht="17.100000000000001" customHeight="1">
      <c r="A27" s="60" t="s">
        <v>171</v>
      </c>
    </row>
  </sheetData>
  <mergeCells count="25">
    <mergeCell ref="A12:J13"/>
    <mergeCell ref="A2:J2"/>
    <mergeCell ref="H3:J3"/>
    <mergeCell ref="C7:D7"/>
    <mergeCell ref="E7:J7"/>
    <mergeCell ref="C8:D8"/>
    <mergeCell ref="E8:J8"/>
    <mergeCell ref="C9:D9"/>
    <mergeCell ref="E9:J9"/>
    <mergeCell ref="C10:D10"/>
    <mergeCell ref="E10:F10"/>
    <mergeCell ref="I10:J10"/>
    <mergeCell ref="B15:J15"/>
    <mergeCell ref="B16:J16"/>
    <mergeCell ref="A17:A19"/>
    <mergeCell ref="E17:F17"/>
    <mergeCell ref="G17:H17"/>
    <mergeCell ref="E18:F18"/>
    <mergeCell ref="B26:J26"/>
    <mergeCell ref="B20:J20"/>
    <mergeCell ref="G21:I21"/>
    <mergeCell ref="B23:D23"/>
    <mergeCell ref="G23:I23"/>
    <mergeCell ref="B24:D24"/>
    <mergeCell ref="G24:I24"/>
  </mergeCells>
  <phoneticPr fontId="2"/>
  <conditionalFormatting sqref="E18">
    <cfRule type="expression" dxfId="5" priority="1">
      <formula>$E$18=DATE(1900,1,0)</formula>
    </cfRule>
  </conditionalFormatting>
  <conditionalFormatting sqref="E17:F17">
    <cfRule type="expression" dxfId="4" priority="2">
      <formula>$E$17=DATE(1900,1,0)</formula>
    </cfRule>
  </conditionalFormatting>
  <pageMargins left="0.7" right="0.4" top="0.75" bottom="0.46"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94DC2-A142-4621-B57F-8C8F12EF8B9C}">
  <sheetPr>
    <tabColor rgb="FF0070C0"/>
  </sheetPr>
  <dimension ref="A1:K27"/>
  <sheetViews>
    <sheetView showGridLines="0" view="pageBreakPreview" topLeftCell="A16" zoomScale="85" zoomScaleNormal="60" zoomScaleSheetLayoutView="85" workbookViewId="0">
      <selection activeCell="G25" sqref="G25"/>
    </sheetView>
  </sheetViews>
  <sheetFormatPr defaultColWidth="8.59765625" defaultRowHeight="13.2"/>
  <cols>
    <col min="1" max="1" width="8.59765625" style="33"/>
    <col min="2" max="2" width="4.296875" style="33" customWidth="1"/>
    <col min="3" max="3" width="10.09765625" style="33" customWidth="1"/>
    <col min="4" max="4" width="5.296875" style="33" customWidth="1"/>
    <col min="5" max="5" width="12.296875" style="33" customWidth="1"/>
    <col min="6" max="6" width="8.59765625" style="33"/>
    <col min="7" max="7" width="4.19921875" style="33" customWidth="1"/>
    <col min="8" max="8" width="8.59765625" style="33"/>
    <col min="9" max="9" width="4.19921875" style="33" customWidth="1"/>
    <col min="10" max="10" width="10.796875" style="33" customWidth="1"/>
    <col min="11" max="16384" width="8.59765625" style="33"/>
  </cols>
  <sheetData>
    <row r="1" spans="1:10" ht="18" customHeight="1">
      <c r="A1" s="33" t="s">
        <v>234</v>
      </c>
    </row>
    <row r="2" spans="1:10" ht="33.6" customHeight="1">
      <c r="A2" s="262" t="s">
        <v>235</v>
      </c>
      <c r="B2" s="262"/>
      <c r="C2" s="262"/>
      <c r="D2" s="262"/>
      <c r="E2" s="262"/>
      <c r="F2" s="262"/>
      <c r="G2" s="262"/>
      <c r="H2" s="262"/>
      <c r="I2" s="262"/>
      <c r="J2" s="262"/>
    </row>
    <row r="3" spans="1:10" ht="22.5" customHeight="1">
      <c r="H3" s="263">
        <f>【入力様式】イベント広場!C2</f>
        <v>45930</v>
      </c>
      <c r="I3" s="264"/>
      <c r="J3" s="264"/>
    </row>
    <row r="5" spans="1:10" ht="20.55" customHeight="1">
      <c r="A5" s="33" t="s">
        <v>143</v>
      </c>
    </row>
    <row r="7" spans="1:10" ht="21" customHeight="1">
      <c r="C7" s="265" t="s">
        <v>144</v>
      </c>
      <c r="D7" s="265"/>
      <c r="E7" s="264" t="str">
        <f>【入力様式】イベント広場!C5</f>
        <v>○○市○○区○○町111-11</v>
      </c>
      <c r="F7" s="264"/>
      <c r="G7" s="264"/>
      <c r="H7" s="264"/>
      <c r="I7" s="264"/>
      <c r="J7" s="264"/>
    </row>
    <row r="8" spans="1:10" ht="21" customHeight="1">
      <c r="C8" s="265" t="s">
        <v>145</v>
      </c>
      <c r="D8" s="265"/>
      <c r="E8" s="264" t="str">
        <f>【入力様式】イベント広場!C3</f>
        <v>■■■■株式会社</v>
      </c>
      <c r="F8" s="264"/>
      <c r="G8" s="264"/>
      <c r="H8" s="264"/>
      <c r="I8" s="264"/>
      <c r="J8" s="264"/>
    </row>
    <row r="9" spans="1:10" ht="21" customHeight="1">
      <c r="C9" s="265" t="s">
        <v>146</v>
      </c>
      <c r="D9" s="265"/>
      <c r="E9" s="264" t="str">
        <f>【入力様式】イベント広場!C6</f>
        <v>△△　△△</v>
      </c>
      <c r="F9" s="264"/>
      <c r="G9" s="264"/>
      <c r="H9" s="264"/>
      <c r="I9" s="264"/>
      <c r="J9" s="264"/>
    </row>
    <row r="10" spans="1:10" ht="21" customHeight="1">
      <c r="C10" s="265" t="s">
        <v>147</v>
      </c>
      <c r="D10" s="265"/>
      <c r="E10" s="264" t="str">
        <f>【入力様式】イベント広場!C7</f>
        <v>▲▲　▲▲</v>
      </c>
      <c r="F10" s="264"/>
      <c r="G10" s="34"/>
      <c r="H10" s="33" t="s">
        <v>148</v>
      </c>
      <c r="I10" s="264" t="str">
        <f>【入力様式】イベント広場!C8</f>
        <v>096-123-1234</v>
      </c>
      <c r="J10" s="264"/>
    </row>
    <row r="12" spans="1:10" ht="19.05" customHeight="1">
      <c r="A12" s="284" t="s">
        <v>247</v>
      </c>
      <c r="B12" s="285"/>
      <c r="C12" s="285"/>
      <c r="D12" s="285"/>
      <c r="E12" s="285"/>
      <c r="F12" s="285"/>
      <c r="G12" s="285"/>
      <c r="H12" s="285"/>
      <c r="I12" s="285"/>
      <c r="J12" s="285"/>
    </row>
    <row r="13" spans="1:10" ht="19.05" customHeight="1">
      <c r="A13" s="285"/>
      <c r="B13" s="285"/>
      <c r="C13" s="285"/>
      <c r="D13" s="285"/>
      <c r="E13" s="285"/>
      <c r="F13" s="285"/>
      <c r="G13" s="285"/>
      <c r="H13" s="285"/>
      <c r="I13" s="285"/>
      <c r="J13" s="285"/>
    </row>
    <row r="15" spans="1:10" ht="44.55" customHeight="1">
      <c r="A15" s="35" t="s">
        <v>150</v>
      </c>
      <c r="B15" s="266" t="str">
        <f>【入力様式】イベント広場!C10</f>
        <v>●●イベント</v>
      </c>
      <c r="C15" s="266"/>
      <c r="D15" s="266"/>
      <c r="E15" s="266"/>
      <c r="F15" s="266"/>
      <c r="G15" s="266"/>
      <c r="H15" s="266"/>
      <c r="I15" s="266"/>
      <c r="J15" s="267"/>
    </row>
    <row r="16" spans="1:10" ht="57.6" customHeight="1">
      <c r="A16" s="35" t="s">
        <v>151</v>
      </c>
      <c r="B16" s="266" t="str">
        <f>【入力様式】イベント広場!C11</f>
        <v>●●向けのイベントを開催する</v>
      </c>
      <c r="C16" s="266"/>
      <c r="D16" s="266"/>
      <c r="E16" s="266"/>
      <c r="F16" s="266"/>
      <c r="G16" s="266"/>
      <c r="H16" s="266"/>
      <c r="I16" s="266"/>
      <c r="J16" s="267"/>
    </row>
    <row r="17" spans="1:11" ht="24" customHeight="1">
      <c r="A17" s="268" t="s">
        <v>152</v>
      </c>
      <c r="B17" s="168"/>
      <c r="C17" s="169"/>
      <c r="D17" s="169"/>
      <c r="E17" s="271">
        <f>【入力様式】イベント広場!C12</f>
        <v>0</v>
      </c>
      <c r="F17" s="271"/>
      <c r="G17" s="272" t="s">
        <v>174</v>
      </c>
      <c r="H17" s="272"/>
      <c r="I17" s="166"/>
      <c r="J17" s="167"/>
    </row>
    <row r="18" spans="1:11" ht="24" customHeight="1">
      <c r="A18" s="269"/>
      <c r="B18" s="170"/>
      <c r="C18" s="171"/>
      <c r="D18" s="171"/>
      <c r="E18" s="273">
        <f>【入力様式】イベント広場!C13</f>
        <v>0</v>
      </c>
      <c r="F18" s="273"/>
      <c r="G18" s="171"/>
      <c r="H18" s="171" t="s">
        <v>175</v>
      </c>
      <c r="I18" s="171"/>
      <c r="J18" s="172"/>
    </row>
    <row r="19" spans="1:11" ht="24" customHeight="1">
      <c r="A19" s="270"/>
      <c r="B19" s="173"/>
      <c r="C19" s="174"/>
      <c r="D19" s="174"/>
      <c r="E19" s="174">
        <f>【入力様式】イベント広場!E14</f>
        <v>1</v>
      </c>
      <c r="F19" s="174" t="s">
        <v>218</v>
      </c>
      <c r="G19" s="174"/>
      <c r="H19" s="174"/>
      <c r="I19" s="174"/>
      <c r="J19" s="175"/>
    </row>
    <row r="20" spans="1:11" ht="36.6" customHeight="1">
      <c r="A20" s="36" t="s">
        <v>153</v>
      </c>
      <c r="B20" s="266"/>
      <c r="C20" s="266"/>
      <c r="D20" s="266"/>
      <c r="E20" s="266"/>
      <c r="F20" s="266"/>
      <c r="G20" s="266"/>
      <c r="H20" s="266"/>
      <c r="I20" s="266"/>
      <c r="J20" s="267"/>
    </row>
    <row r="21" spans="1:11" ht="29.1" customHeight="1">
      <c r="A21" s="36" t="s">
        <v>154</v>
      </c>
      <c r="B21" s="40">
        <v>1</v>
      </c>
      <c r="C21" s="41" t="s">
        <v>158</v>
      </c>
      <c r="D21" s="42">
        <v>2</v>
      </c>
      <c r="E21" s="43" t="s">
        <v>34</v>
      </c>
      <c r="F21" s="37" t="s">
        <v>155</v>
      </c>
      <c r="G21" s="276">
        <f>【入力様式】イベント広場!C15</f>
        <v>0</v>
      </c>
      <c r="H21" s="276"/>
      <c r="I21" s="276"/>
      <c r="J21" s="38" t="s">
        <v>156</v>
      </c>
    </row>
    <row r="22" spans="1:11" ht="31.5" customHeight="1" thickBot="1">
      <c r="A22" s="39" t="s">
        <v>157</v>
      </c>
      <c r="B22" s="40">
        <v>1</v>
      </c>
      <c r="C22" s="41" t="s">
        <v>172</v>
      </c>
      <c r="D22" s="42">
        <v>2</v>
      </c>
      <c r="E22" s="43" t="s">
        <v>173</v>
      </c>
      <c r="F22" s="44" t="s">
        <v>159</v>
      </c>
      <c r="G22" s="42">
        <v>1</v>
      </c>
      <c r="H22" s="41" t="s">
        <v>160</v>
      </c>
      <c r="I22" s="42">
        <v>2</v>
      </c>
      <c r="J22" s="45" t="s">
        <v>161</v>
      </c>
    </row>
    <row r="23" spans="1:11" ht="31.5" customHeight="1">
      <c r="A23" s="46" t="s">
        <v>162</v>
      </c>
      <c r="B23" s="277">
        <f>'【通常】様式第１号(申請書)※入力不要'!B23</f>
        <v>0</v>
      </c>
      <c r="C23" s="278"/>
      <c r="D23" s="278"/>
      <c r="E23" s="47" t="s">
        <v>163</v>
      </c>
      <c r="F23" s="48" t="s">
        <v>164</v>
      </c>
      <c r="G23" s="279">
        <f>'【通常】様式第１号(申請書)※入力不要'!G23</f>
        <v>0</v>
      </c>
      <c r="H23" s="280"/>
      <c r="I23" s="280"/>
      <c r="J23" s="49" t="s">
        <v>163</v>
      </c>
    </row>
    <row r="24" spans="1:11" ht="31.5" customHeight="1" thickBot="1">
      <c r="A24" s="50" t="s">
        <v>165</v>
      </c>
      <c r="B24" s="281"/>
      <c r="C24" s="282"/>
      <c r="D24" s="282"/>
      <c r="E24" s="45" t="s">
        <v>163</v>
      </c>
      <c r="F24" s="51" t="s">
        <v>166</v>
      </c>
      <c r="G24" s="283">
        <f>B23+G23</f>
        <v>0</v>
      </c>
      <c r="H24" s="283"/>
      <c r="I24" s="283"/>
      <c r="J24" s="52" t="s">
        <v>163</v>
      </c>
    </row>
    <row r="25" spans="1:11" ht="31.5" customHeight="1" thickBot="1">
      <c r="A25" s="53" t="s">
        <v>167</v>
      </c>
      <c r="B25" s="54">
        <v>1</v>
      </c>
      <c r="C25" s="55" t="s">
        <v>168</v>
      </c>
      <c r="D25" s="54">
        <v>2</v>
      </c>
      <c r="E25" s="55" t="s">
        <v>169</v>
      </c>
      <c r="F25" s="56"/>
      <c r="G25" s="57"/>
      <c r="H25" s="57"/>
      <c r="I25" s="57"/>
      <c r="J25" s="57"/>
      <c r="K25" s="58"/>
    </row>
    <row r="26" spans="1:11" ht="71.55" customHeight="1">
      <c r="A26" s="59" t="s">
        <v>170</v>
      </c>
      <c r="B26" s="274"/>
      <c r="C26" s="274"/>
      <c r="D26" s="274"/>
      <c r="E26" s="274"/>
      <c r="F26" s="274"/>
      <c r="G26" s="274"/>
      <c r="H26" s="274"/>
      <c r="I26" s="274"/>
      <c r="J26" s="275"/>
    </row>
    <row r="27" spans="1:11" ht="17.100000000000001" customHeight="1">
      <c r="A27" s="60" t="s">
        <v>171</v>
      </c>
    </row>
  </sheetData>
  <sheetProtection selectLockedCells="1" selectUnlockedCells="1"/>
  <mergeCells count="25">
    <mergeCell ref="A12:J13"/>
    <mergeCell ref="A2:J2"/>
    <mergeCell ref="H3:J3"/>
    <mergeCell ref="C7:D7"/>
    <mergeCell ref="E7:J7"/>
    <mergeCell ref="C8:D8"/>
    <mergeCell ref="E8:J8"/>
    <mergeCell ref="C9:D9"/>
    <mergeCell ref="E9:J9"/>
    <mergeCell ref="C10:D10"/>
    <mergeCell ref="E10:F10"/>
    <mergeCell ref="I10:J10"/>
    <mergeCell ref="B15:J15"/>
    <mergeCell ref="B16:J16"/>
    <mergeCell ref="A17:A19"/>
    <mergeCell ref="E17:F17"/>
    <mergeCell ref="G17:H17"/>
    <mergeCell ref="E18:F18"/>
    <mergeCell ref="B26:J26"/>
    <mergeCell ref="B20:J20"/>
    <mergeCell ref="G21:I21"/>
    <mergeCell ref="B23:D23"/>
    <mergeCell ref="G23:I23"/>
    <mergeCell ref="B24:D24"/>
    <mergeCell ref="G24:I24"/>
  </mergeCells>
  <phoneticPr fontId="2"/>
  <conditionalFormatting sqref="E17:F17">
    <cfRule type="expression" dxfId="3" priority="2">
      <formula>$E$17=DATE(1900,1,0)</formula>
    </cfRule>
  </conditionalFormatting>
  <conditionalFormatting sqref="E18:F18">
    <cfRule type="expression" dxfId="2" priority="1">
      <formula>$E$18=DATE(1900,1,0)</formula>
    </cfRule>
  </conditionalFormatting>
  <pageMargins left="0.7" right="0.4" top="0.75" bottom="0.46"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46ece12-4c61-4aa2-9bfa-749ade192190" xsi:nil="true"/>
    <lcf76f155ced4ddcb4097134ff3c332f xmlns="22197119-58f6-4a6e-83b6-0c0e733d8f8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B59EDCBDDDBDB4E9A42869EB55FC1F3" ma:contentTypeVersion="13" ma:contentTypeDescription="新しいドキュメントを作成します。" ma:contentTypeScope="" ma:versionID="62e1b2d49ea53ea1d841f83b992ca078">
  <xsd:schema xmlns:xsd="http://www.w3.org/2001/XMLSchema" xmlns:xs="http://www.w3.org/2001/XMLSchema" xmlns:p="http://schemas.microsoft.com/office/2006/metadata/properties" xmlns:ns2="22197119-58f6-4a6e-83b6-0c0e733d8f82" xmlns:ns3="646ece12-4c61-4aa2-9bfa-749ade192190" targetNamespace="http://schemas.microsoft.com/office/2006/metadata/properties" ma:root="true" ma:fieldsID="296c75c2665a5f42cc2a6e229978f4d2" ns2:_="" ns3:_="">
    <xsd:import namespace="22197119-58f6-4a6e-83b6-0c0e733d8f82"/>
    <xsd:import namespace="646ece12-4c61-4aa2-9bfa-749ade19219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197119-58f6-4a6e-83b6-0c0e733d8f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2b26c3b2-8f9c-41a3-9938-63a048efebbe"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6ece12-4c61-4aa2-9bfa-749ade192190"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9e15260-9026-433a-99cf-3130345ebb4d}" ma:internalName="TaxCatchAll" ma:showField="CatchAllData" ma:web="646ece12-4c61-4aa2-9bfa-749ade1921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A20AE1-B01C-44B7-B1FE-083EB2077B66}">
  <ds:schemaRefs>
    <ds:schemaRef ds:uri="http://schemas.microsoft.com/office/2006/metadata/properties"/>
    <ds:schemaRef ds:uri="http://schemas.microsoft.com/office/infopath/2007/PartnerControls"/>
    <ds:schemaRef ds:uri="646ece12-4c61-4aa2-9bfa-749ade192190"/>
    <ds:schemaRef ds:uri="22197119-58f6-4a6e-83b6-0c0e733d8f82"/>
  </ds:schemaRefs>
</ds:datastoreItem>
</file>

<file path=customXml/itemProps2.xml><?xml version="1.0" encoding="utf-8"?>
<ds:datastoreItem xmlns:ds="http://schemas.openxmlformats.org/officeDocument/2006/customXml" ds:itemID="{243F11F1-3537-46A5-B9F9-6688838932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197119-58f6-4a6e-83b6-0c0e733d8f82"/>
    <ds:schemaRef ds:uri="646ece12-4c61-4aa2-9bfa-749ade1921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F4D001D-5E98-4587-9417-024E7CA8DF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確認事項※必ず確認ください</vt:lpstr>
      <vt:lpstr>【入力様式】イベント広場</vt:lpstr>
      <vt:lpstr>【通常】請求書※入力不要</vt:lpstr>
      <vt:lpstr>【通常】明細※入力不要</vt:lpstr>
      <vt:lpstr>【営利用】請求書※入力不要</vt:lpstr>
      <vt:lpstr>【営利用】明細※入力不要</vt:lpstr>
      <vt:lpstr>【通常】様式第１号(申請書)※入力不要</vt:lpstr>
      <vt:lpstr>【営利用】様式第１号(申請書)※入力不要</vt:lpstr>
      <vt:lpstr>【通常】様式第３号(許可書)※入力不要</vt:lpstr>
      <vt:lpstr>【営利用】様式第３号(許可書) ※入力不要</vt:lpstr>
      <vt:lpstr>データ（触らない）</vt:lpstr>
      <vt:lpstr>貼付用データ</vt:lpstr>
      <vt:lpstr>【営利用】請求書※入力不要!Print_Area</vt:lpstr>
      <vt:lpstr>【営利用】明細※入力不要!Print_Area</vt:lpstr>
      <vt:lpstr>'【営利用】様式第１号(申請書)※入力不要'!Print_Area</vt:lpstr>
      <vt:lpstr>'【営利用】様式第３号(許可書) ※入力不要'!Print_Area</vt:lpstr>
      <vt:lpstr>【通常】請求書※入力不要!Print_Area</vt:lpstr>
      <vt:lpstr>【通常】明細※入力不要!Print_Area</vt:lpstr>
      <vt:lpstr>'【通常】様式第１号(申請書)※入力不要'!Print_Area</vt:lpstr>
      <vt:lpstr>'【通常】様式第３号(許可書)※入力不要'!Print_Area</vt:lpstr>
      <vt:lpstr>【入力様式】イベント広場!Print_Area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池田　政紀</dc:creator>
  <cp:keywords/>
  <dc:description/>
  <cp:lastModifiedBy>morimoto</cp:lastModifiedBy>
  <cp:revision/>
  <cp:lastPrinted>2025-12-01T21:58:25Z</cp:lastPrinted>
  <dcterms:created xsi:type="dcterms:W3CDTF">2025-08-05T05:37:00Z</dcterms:created>
  <dcterms:modified xsi:type="dcterms:W3CDTF">2025-12-01T21:58:59Z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0x0101001B59EDCBDDDBDB4E9A42869EB55FC1F3</vt:lpwstr>
  </property>
  <property fmtid="{D5CDD505-2E9C-101B-9397-08002B2CF9AE}" pid="3" name="Order">
    <vt:r8>3926400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MediaServiceImageTags">
    <vt:lpwstr/>
  </property>
</Properties>
</file>