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morimoto\Desktop\"/>
    </mc:Choice>
  </mc:AlternateContent>
  <xr:revisionPtr revIDLastSave="0" documentId="13_ncr:1_{A39101DE-3568-4562-8EA9-3F57F5DE2345}" xr6:coauthVersionLast="47" xr6:coauthVersionMax="47" xr10:uidLastSave="{00000000-0000-0000-0000-000000000000}"/>
  <bookViews>
    <workbookView xWindow="-108" yWindow="-108" windowWidth="23256" windowHeight="12456" activeTab="1" xr2:uid="{366EAC7A-1814-4E5D-A9E2-05BC904770CD}"/>
  </bookViews>
  <sheets>
    <sheet name="確認事項※必ず確認ください" sheetId="26" r:id="rId1"/>
    <sheet name="【入力様式】パーティールームA" sheetId="1" r:id="rId2"/>
    <sheet name="【通常】請求書)※入力不要" sheetId="25" state="hidden" r:id="rId3"/>
    <sheet name="【通常】明細)※入力不要" sheetId="29" state="hidden" r:id="rId4"/>
    <sheet name="【営利用】請求書)※入力不要" sheetId="39" state="hidden" r:id="rId5"/>
    <sheet name="【営利用】(明細)※入力不要" sheetId="41" state="hidden" r:id="rId6"/>
    <sheet name="【通常】様式第2号(申請書)※入力不要" sheetId="35" state="hidden" r:id="rId7"/>
    <sheet name="【営利用】様式第2号(申請書)※入力不要 " sheetId="37" state="hidden" r:id="rId8"/>
    <sheet name="【通常】様式第4号(許可書))※入力不要" sheetId="36" state="hidden" r:id="rId9"/>
    <sheet name="【営利用】様式第4号(許可書) )※入力不要" sheetId="38" state="hidden" r:id="rId10"/>
    <sheet name="データ（触らない）" sheetId="2" state="hidden" r:id="rId11"/>
    <sheet name="貼付用データ" sheetId="8" state="hidden" r:id="rId12"/>
  </sheets>
  <definedNames>
    <definedName name="_xlnm._FilterDatabase" localSheetId="11" hidden="1">貼付用データ!$A$8:$H$213</definedName>
    <definedName name="_xlnm.Print_Area" localSheetId="5">'【営利用】(明細)※入力不要'!$A$1:$G$29</definedName>
    <definedName name="_xlnm.Print_Area" localSheetId="4">'【営利用】請求書)※入力不要'!$A$1:$K$31</definedName>
    <definedName name="_xlnm.Print_Area" localSheetId="2">'【通常】請求書)※入力不要'!$A$1:$K$31</definedName>
    <definedName name="_xlnm.Print_Area" localSheetId="3">'【通常】明細)※入力不要'!$A$1:$G$29</definedName>
    <definedName name="_xlnm.Print_Area" localSheetId="1">【入力様式】パーティールームA!$A$1:$H$114</definedName>
    <definedName name="区分02" localSheetId="7">#REF!</definedName>
    <definedName name="区分02" localSheetId="9">#REF!</definedName>
    <definedName name="区分02" localSheetId="6">#REF!</definedName>
    <definedName name="区分02" localSheetId="8">#REF!</definedName>
    <definedName name="区分0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38" l="1"/>
  <c r="B24" i="38"/>
  <c r="H25" i="37"/>
  <c r="H23" i="37"/>
  <c r="H21" i="37"/>
  <c r="H19" i="37"/>
  <c r="B24" i="37"/>
  <c r="B23" i="37"/>
  <c r="B22" i="37"/>
  <c r="B22" i="38" s="1"/>
  <c r="B20" i="37"/>
  <c r="B20" i="38" s="1"/>
  <c r="B19" i="37"/>
  <c r="B19" i="38" s="1"/>
  <c r="H17" i="37"/>
  <c r="B18" i="37"/>
  <c r="B18" i="38" s="1"/>
  <c r="D7" i="41"/>
  <c r="D6" i="41"/>
  <c r="D5" i="41"/>
  <c r="D4" i="41"/>
  <c r="D3" i="41"/>
  <c r="D25" i="41"/>
  <c r="F25" i="41" s="1"/>
  <c r="D24" i="41"/>
  <c r="F24" i="41" s="1"/>
  <c r="D23" i="41"/>
  <c r="F23" i="41" s="1"/>
  <c r="D22" i="41"/>
  <c r="F22" i="41" s="1"/>
  <c r="D21" i="41"/>
  <c r="F21" i="41" s="1"/>
  <c r="D20" i="41"/>
  <c r="F20" i="41" s="1"/>
  <c r="D19" i="41"/>
  <c r="F19" i="41" s="1"/>
  <c r="D18" i="41"/>
  <c r="F18" i="41" s="1"/>
  <c r="D17" i="41"/>
  <c r="F17" i="41" s="1"/>
  <c r="D16" i="41"/>
  <c r="F16" i="41" s="1"/>
  <c r="D15" i="41"/>
  <c r="F15" i="41" s="1"/>
  <c r="D14" i="41"/>
  <c r="F14" i="41" s="1"/>
  <c r="D13" i="41"/>
  <c r="F13" i="41" s="1"/>
  <c r="D12" i="41"/>
  <c r="F12" i="41" s="1"/>
  <c r="D11" i="41"/>
  <c r="F11" i="41" s="1"/>
  <c r="C7" i="41"/>
  <c r="B26" i="37" s="1"/>
  <c r="B26" i="38" s="1"/>
  <c r="B7" i="41"/>
  <c r="B25" i="37" s="1"/>
  <c r="B25" i="38" s="1"/>
  <c r="C6" i="41"/>
  <c r="B6" i="41"/>
  <c r="C5" i="41"/>
  <c r="B5" i="41"/>
  <c r="B21" i="37" s="1"/>
  <c r="B21" i="38" s="1"/>
  <c r="C4" i="41"/>
  <c r="B4" i="41"/>
  <c r="C3" i="41"/>
  <c r="D17" i="29"/>
  <c r="D18" i="29"/>
  <c r="D19" i="29"/>
  <c r="D20" i="29"/>
  <c r="D21" i="29"/>
  <c r="D22" i="29"/>
  <c r="D23" i="29"/>
  <c r="D24" i="29"/>
  <c r="D25" i="29"/>
  <c r="D16" i="29"/>
  <c r="D12" i="29"/>
  <c r="D13" i="29"/>
  <c r="D14" i="29"/>
  <c r="D15" i="29"/>
  <c r="D11" i="29"/>
  <c r="F26" i="41" l="1"/>
  <c r="B28" i="37" s="1"/>
  <c r="B29" i="37" s="1"/>
  <c r="D8" i="41"/>
  <c r="F15" i="29"/>
  <c r="F14" i="29"/>
  <c r="F13" i="29"/>
  <c r="F16" i="29"/>
  <c r="F17" i="29"/>
  <c r="F18" i="29"/>
  <c r="F19" i="29"/>
  <c r="F20" i="29"/>
  <c r="F21" i="29"/>
  <c r="F22" i="29"/>
  <c r="F23" i="29"/>
  <c r="F12" i="29"/>
  <c r="D3" i="29"/>
  <c r="H17" i="35" s="1"/>
  <c r="C7" i="29"/>
  <c r="B26" i="35" s="1"/>
  <c r="B26" i="36" s="1"/>
  <c r="C6" i="29"/>
  <c r="B24" i="35" s="1"/>
  <c r="B24" i="36" s="1"/>
  <c r="C5" i="29"/>
  <c r="B22" i="35" s="1"/>
  <c r="B22" i="36" s="1"/>
  <c r="C3" i="29"/>
  <c r="B18" i="35" s="1"/>
  <c r="B18" i="36" s="1"/>
  <c r="B7" i="29"/>
  <c r="B25" i="35" s="1"/>
  <c r="B25" i="36" s="1"/>
  <c r="B6" i="29"/>
  <c r="B23" i="35" s="1"/>
  <c r="B23" i="36" s="1"/>
  <c r="B5" i="29"/>
  <c r="B21" i="35" s="1"/>
  <c r="B21" i="36" s="1"/>
  <c r="B4" i="29"/>
  <c r="B19" i="35" s="1"/>
  <c r="B19" i="36" s="1"/>
  <c r="L23" i="1"/>
  <c r="L42" i="1"/>
  <c r="L61" i="1"/>
  <c r="D5" i="29" s="1"/>
  <c r="H21" i="35" s="1"/>
  <c r="L80" i="1"/>
  <c r="D6" i="29" s="1"/>
  <c r="H23" i="35" s="1"/>
  <c r="L81" i="1"/>
  <c r="L24" i="1"/>
  <c r="L43" i="1"/>
  <c r="L44" i="1" s="1"/>
  <c r="O100" i="1"/>
  <c r="O101" i="1" s="1"/>
  <c r="L100" i="1"/>
  <c r="L99" i="1"/>
  <c r="D7" i="29" s="1"/>
  <c r="H25" i="35" s="1"/>
  <c r="O81" i="1"/>
  <c r="O82" i="1" s="1"/>
  <c r="O62" i="1"/>
  <c r="O63" i="1" s="1"/>
  <c r="L62" i="1"/>
  <c r="O43" i="1"/>
  <c r="O44" i="1" s="1"/>
  <c r="O24" i="1"/>
  <c r="F28" i="41" l="1"/>
  <c r="L101" i="1"/>
  <c r="L82" i="1"/>
  <c r="L63" i="1"/>
  <c r="C21" i="1" l="1"/>
  <c r="H3" i="37"/>
  <c r="H3" i="35"/>
  <c r="B3" i="41" l="1"/>
  <c r="B17" i="37" s="1"/>
  <c r="B17" i="38" s="1"/>
  <c r="B3" i="29"/>
  <c r="B17" i="35" s="1"/>
  <c r="B17" i="36" s="1"/>
  <c r="H21" i="36"/>
  <c r="D4" i="29"/>
  <c r="H19" i="35" s="1"/>
  <c r="H17" i="36"/>
  <c r="F11" i="29"/>
  <c r="C4" i="29"/>
  <c r="B20" i="35" s="1"/>
  <c r="B20" i="36" s="1"/>
  <c r="E6" i="35"/>
  <c r="O25" i="1"/>
  <c r="H25" i="36" l="1"/>
  <c r="H23" i="36"/>
  <c r="H19" i="36"/>
  <c r="L25" i="1"/>
  <c r="D10" i="39" l="1"/>
  <c r="I9" i="39"/>
  <c r="D9" i="39"/>
  <c r="C3" i="39"/>
  <c r="B27" i="38"/>
  <c r="B15" i="38"/>
  <c r="B14" i="38"/>
  <c r="E8" i="38"/>
  <c r="E7" i="38"/>
  <c r="E6" i="38"/>
  <c r="D10" i="25"/>
  <c r="I9" i="25"/>
  <c r="D9" i="25"/>
  <c r="C3" i="25"/>
  <c r="H25" i="38"/>
  <c r="H23" i="38"/>
  <c r="H21" i="38"/>
  <c r="H19" i="38"/>
  <c r="H17" i="38"/>
  <c r="B27" i="37"/>
  <c r="B15" i="37"/>
  <c r="B14" i="37"/>
  <c r="I9" i="37"/>
  <c r="E9" i="37"/>
  <c r="E8" i="37"/>
  <c r="E7" i="37"/>
  <c r="E6" i="37"/>
  <c r="B27" i="36"/>
  <c r="B15" i="36"/>
  <c r="B14" i="36"/>
  <c r="E8" i="36"/>
  <c r="E7" i="36"/>
  <c r="E6" i="36"/>
  <c r="B15" i="35"/>
  <c r="B14" i="35"/>
  <c r="I9" i="35"/>
  <c r="E9" i="35"/>
  <c r="E8" i="35"/>
  <c r="E7" i="35"/>
  <c r="B27" i="35"/>
  <c r="F24" i="29" l="1"/>
  <c r="F25" i="29"/>
  <c r="D13" i="1"/>
  <c r="E14" i="1"/>
  <c r="D12" i="1"/>
  <c r="F26" i="29" l="1"/>
  <c r="B28" i="35" s="1"/>
  <c r="B29" i="35" s="1"/>
  <c r="O40" i="2"/>
  <c r="O39" i="2"/>
  <c r="O38" i="2"/>
  <c r="O35" i="2"/>
  <c r="O32" i="2"/>
  <c r="O27" i="2"/>
  <c r="O37" i="2"/>
  <c r="O36" i="2"/>
  <c r="O34" i="2"/>
  <c r="O33" i="2"/>
  <c r="O31" i="2"/>
  <c r="O30" i="2"/>
  <c r="O26" i="2"/>
  <c r="O25" i="2"/>
  <c r="O29" i="2"/>
  <c r="O28" i="2"/>
  <c r="O24" i="2"/>
  <c r="O23" i="2"/>
  <c r="N40" i="2"/>
  <c r="N39" i="2"/>
  <c r="N38" i="2"/>
  <c r="N35" i="2"/>
  <c r="N32" i="2"/>
  <c r="N27" i="2"/>
  <c r="N37" i="2"/>
  <c r="N36" i="2"/>
  <c r="N34" i="2"/>
  <c r="N33" i="2"/>
  <c r="N31" i="2"/>
  <c r="N30" i="2"/>
  <c r="N26" i="2"/>
  <c r="N25" i="2"/>
  <c r="N29" i="2"/>
  <c r="N28" i="2"/>
  <c r="N24" i="2"/>
  <c r="N23" i="2"/>
  <c r="M40" i="2"/>
  <c r="M39" i="2"/>
  <c r="M38" i="2"/>
  <c r="M35" i="2"/>
  <c r="M32" i="2"/>
  <c r="M27" i="2"/>
  <c r="M37" i="2"/>
  <c r="M36" i="2"/>
  <c r="M34" i="2"/>
  <c r="M33" i="2"/>
  <c r="M31" i="2"/>
  <c r="M30" i="2"/>
  <c r="M26" i="2"/>
  <c r="M25" i="2"/>
  <c r="M29" i="2"/>
  <c r="M28" i="2"/>
  <c r="M24" i="2"/>
  <c r="M23" i="2"/>
  <c r="L40" i="2"/>
  <c r="L39" i="2"/>
  <c r="L38" i="2"/>
  <c r="L35" i="2"/>
  <c r="L32" i="2"/>
  <c r="L27" i="2"/>
  <c r="L37" i="2"/>
  <c r="L36" i="2"/>
  <c r="L34" i="2"/>
  <c r="L33" i="2"/>
  <c r="L31" i="2"/>
  <c r="L30" i="2"/>
  <c r="L26" i="2"/>
  <c r="L25" i="2"/>
  <c r="L29" i="2"/>
  <c r="L28" i="2"/>
  <c r="L24" i="2"/>
  <c r="L23" i="2"/>
  <c r="K27" i="2"/>
  <c r="K40" i="2"/>
  <c r="K39" i="2"/>
  <c r="K38" i="2"/>
  <c r="K35" i="2"/>
  <c r="K32" i="2"/>
  <c r="K37" i="2"/>
  <c r="K36" i="2"/>
  <c r="K34" i="2"/>
  <c r="K33" i="2"/>
  <c r="K31" i="2"/>
  <c r="K30" i="2"/>
  <c r="K26" i="2"/>
  <c r="K25" i="2"/>
  <c r="K29" i="2"/>
  <c r="K28" i="2"/>
  <c r="K24" i="2"/>
  <c r="K23" i="2"/>
  <c r="J40" i="2"/>
  <c r="J39" i="2"/>
  <c r="J38" i="2"/>
  <c r="J35" i="2"/>
  <c r="J32" i="2"/>
  <c r="J27" i="2"/>
  <c r="J37" i="2"/>
  <c r="J36" i="2"/>
  <c r="J34" i="2"/>
  <c r="J33" i="2"/>
  <c r="J31" i="2"/>
  <c r="J30" i="2"/>
  <c r="J26" i="2"/>
  <c r="J25" i="2"/>
  <c r="J29" i="2"/>
  <c r="J28" i="2"/>
  <c r="J24" i="2"/>
  <c r="J23" i="2"/>
  <c r="I40" i="2"/>
  <c r="I39" i="2"/>
  <c r="I38" i="2"/>
  <c r="I35" i="2"/>
  <c r="I32" i="2"/>
  <c r="I27" i="2"/>
  <c r="I37" i="2"/>
  <c r="I36" i="2"/>
  <c r="I34" i="2"/>
  <c r="I33" i="2"/>
  <c r="I31" i="2"/>
  <c r="I30" i="2"/>
  <c r="I26" i="2"/>
  <c r="I25" i="2"/>
  <c r="I29" i="2"/>
  <c r="I28" i="2"/>
  <c r="I24" i="2"/>
  <c r="I23" i="2"/>
  <c r="H40" i="2"/>
  <c r="H39" i="2"/>
  <c r="H38" i="2"/>
  <c r="H35" i="2"/>
  <c r="H32" i="2"/>
  <c r="H27" i="2"/>
  <c r="H37" i="2"/>
  <c r="H36" i="2"/>
  <c r="H34" i="2"/>
  <c r="H33" i="2"/>
  <c r="H31" i="2"/>
  <c r="H30" i="2"/>
  <c r="H26" i="2"/>
  <c r="H25" i="2"/>
  <c r="H29" i="2"/>
  <c r="H28" i="2"/>
  <c r="H24" i="2"/>
  <c r="H23" i="2"/>
  <c r="B28" i="36" l="1"/>
  <c r="D8" i="29"/>
  <c r="F28" i="29" s="1"/>
  <c r="B28" i="38"/>
  <c r="B29" i="38"/>
  <c r="D5" i="39" s="1"/>
  <c r="K22" i="39" s="1"/>
  <c r="K23" i="39" s="1"/>
  <c r="B29" i="36"/>
  <c r="D5" i="25" s="1"/>
  <c r="G173" i="8"/>
  <c r="G195" i="8"/>
  <c r="G188" i="8"/>
  <c r="G176" i="8"/>
  <c r="G175" i="8"/>
  <c r="G174" i="8"/>
  <c r="G154" i="8"/>
  <c r="G147" i="8"/>
  <c r="G135" i="8"/>
  <c r="G134" i="8"/>
  <c r="G133" i="8"/>
  <c r="G132" i="8"/>
  <c r="G113" i="8"/>
  <c r="G106" i="8"/>
  <c r="G94" i="8"/>
  <c r="G93" i="8"/>
  <c r="G92" i="8"/>
  <c r="G91" i="8"/>
  <c r="G72" i="8"/>
  <c r="G65" i="8"/>
  <c r="G53" i="8"/>
  <c r="G52" i="8"/>
  <c r="G50" i="8"/>
  <c r="L8" i="2"/>
  <c r="K6" i="2"/>
  <c r="K5" i="2"/>
  <c r="K7" i="2"/>
  <c r="J8" i="2"/>
  <c r="J9" i="2"/>
  <c r="H15" i="2"/>
  <c r="I6" i="2"/>
  <c r="G13" i="8" l="1"/>
  <c r="G54" i="8"/>
  <c r="G136" i="8"/>
  <c r="G95" i="8"/>
  <c r="G177" i="8"/>
  <c r="F213" i="8"/>
  <c r="D213" i="8"/>
  <c r="G213" i="8" s="1"/>
  <c r="B213" i="8"/>
  <c r="F212" i="8"/>
  <c r="D212" i="8"/>
  <c r="B212" i="8"/>
  <c r="F211" i="8"/>
  <c r="D211" i="8"/>
  <c r="B211" i="8"/>
  <c r="F210" i="8"/>
  <c r="D210" i="8"/>
  <c r="G210" i="8" s="1"/>
  <c r="B210" i="8"/>
  <c r="F209" i="8"/>
  <c r="D209" i="8"/>
  <c r="G209" i="8" s="1"/>
  <c r="B209" i="8"/>
  <c r="F208" i="8"/>
  <c r="D208" i="8"/>
  <c r="G208" i="8" s="1"/>
  <c r="B208" i="8"/>
  <c r="F207" i="8"/>
  <c r="D207" i="8"/>
  <c r="G207" i="8" s="1"/>
  <c r="B207" i="8"/>
  <c r="F206" i="8"/>
  <c r="D206" i="8"/>
  <c r="G206" i="8" s="1"/>
  <c r="B206" i="8"/>
  <c r="F205" i="8"/>
  <c r="D205" i="8"/>
  <c r="G205" i="8" s="1"/>
  <c r="B205" i="8"/>
  <c r="F204" i="8"/>
  <c r="D204" i="8"/>
  <c r="G204" i="8" s="1"/>
  <c r="B204" i="8"/>
  <c r="F203" i="8"/>
  <c r="D203" i="8"/>
  <c r="G203" i="8" s="1"/>
  <c r="B203" i="8"/>
  <c r="F202" i="8"/>
  <c r="D202" i="8"/>
  <c r="B202" i="8"/>
  <c r="F201" i="8"/>
  <c r="D201" i="8"/>
  <c r="G201" i="8" s="1"/>
  <c r="B201" i="8"/>
  <c r="F200" i="8"/>
  <c r="D200" i="8"/>
  <c r="G200" i="8" s="1"/>
  <c r="B200" i="8"/>
  <c r="F199" i="8"/>
  <c r="D199" i="8"/>
  <c r="G199" i="8" s="1"/>
  <c r="B199" i="8"/>
  <c r="F198" i="8"/>
  <c r="D198" i="8"/>
  <c r="G198" i="8" s="1"/>
  <c r="B198" i="8"/>
  <c r="F197" i="8"/>
  <c r="D197" i="8"/>
  <c r="G197" i="8" s="1"/>
  <c r="B197" i="8"/>
  <c r="F196" i="8"/>
  <c r="D196" i="8"/>
  <c r="G196" i="8" s="1"/>
  <c r="B196" i="8"/>
  <c r="E195" i="8"/>
  <c r="F195" i="8" s="1"/>
  <c r="H195" i="8" s="1"/>
  <c r="D195" i="8"/>
  <c r="B195" i="8"/>
  <c r="F194" i="8"/>
  <c r="D194" i="8"/>
  <c r="G194" i="8" s="1"/>
  <c r="B194" i="8"/>
  <c r="F193" i="8"/>
  <c r="D193" i="8"/>
  <c r="G193" i="8" s="1"/>
  <c r="B193" i="8"/>
  <c r="F192" i="8"/>
  <c r="D192" i="8"/>
  <c r="G192" i="8" s="1"/>
  <c r="B192" i="8"/>
  <c r="F191" i="8"/>
  <c r="D191" i="8"/>
  <c r="G191" i="8" s="1"/>
  <c r="B191" i="8"/>
  <c r="F190" i="8"/>
  <c r="D190" i="8"/>
  <c r="G190" i="8" s="1"/>
  <c r="B190" i="8"/>
  <c r="F189" i="8"/>
  <c r="D189" i="8"/>
  <c r="G189" i="8" s="1"/>
  <c r="B189" i="8"/>
  <c r="E188" i="8"/>
  <c r="F188" i="8" s="1"/>
  <c r="D188" i="8"/>
  <c r="B188" i="8"/>
  <c r="F187" i="8"/>
  <c r="D187" i="8"/>
  <c r="G187" i="8" s="1"/>
  <c r="B187" i="8"/>
  <c r="F186" i="8"/>
  <c r="D186" i="8"/>
  <c r="G186" i="8" s="1"/>
  <c r="B186" i="8"/>
  <c r="F185" i="8"/>
  <c r="D185" i="8"/>
  <c r="G185" i="8" s="1"/>
  <c r="B185" i="8"/>
  <c r="F184" i="8"/>
  <c r="D184" i="8"/>
  <c r="G184" i="8" s="1"/>
  <c r="B184" i="8"/>
  <c r="F183" i="8"/>
  <c r="D183" i="8"/>
  <c r="G183" i="8" s="1"/>
  <c r="B183" i="8"/>
  <c r="F182" i="8"/>
  <c r="D182" i="8"/>
  <c r="G182" i="8" s="1"/>
  <c r="B182" i="8"/>
  <c r="F181" i="8"/>
  <c r="D181" i="8"/>
  <c r="G181" i="8" s="1"/>
  <c r="B181" i="8"/>
  <c r="F180" i="8"/>
  <c r="D180" i="8"/>
  <c r="G180" i="8" s="1"/>
  <c r="B180" i="8"/>
  <c r="F179" i="8"/>
  <c r="D179" i="8"/>
  <c r="G179" i="8" s="1"/>
  <c r="B179" i="8"/>
  <c r="F178" i="8"/>
  <c r="D178" i="8"/>
  <c r="G178" i="8" s="1"/>
  <c r="B178" i="8"/>
  <c r="D177" i="8"/>
  <c r="B177" i="8"/>
  <c r="E176" i="8"/>
  <c r="F176" i="8" s="1"/>
  <c r="D176" i="8"/>
  <c r="B176" i="8"/>
  <c r="E175" i="8"/>
  <c r="F175" i="8" s="1"/>
  <c r="D175" i="8"/>
  <c r="B175" i="8"/>
  <c r="E174" i="8"/>
  <c r="F174" i="8" s="1"/>
  <c r="H174" i="8" s="1"/>
  <c r="D174" i="8"/>
  <c r="B174" i="8"/>
  <c r="E173" i="8"/>
  <c r="F173" i="8" s="1"/>
  <c r="H173" i="8" s="1"/>
  <c r="D173" i="8"/>
  <c r="B173" i="8"/>
  <c r="D6" i="8" s="1"/>
  <c r="F172" i="8"/>
  <c r="D172" i="8"/>
  <c r="G172" i="8" s="1"/>
  <c r="B172" i="8"/>
  <c r="F171" i="8"/>
  <c r="D171" i="8"/>
  <c r="G171" i="8" s="1"/>
  <c r="B171" i="8"/>
  <c r="F170" i="8"/>
  <c r="D170" i="8"/>
  <c r="G170" i="8" s="1"/>
  <c r="B170" i="8"/>
  <c r="F169" i="8"/>
  <c r="D169" i="8"/>
  <c r="G169" i="8" s="1"/>
  <c r="B169" i="8"/>
  <c r="F168" i="8"/>
  <c r="D168" i="8"/>
  <c r="G168" i="8" s="1"/>
  <c r="B168" i="8"/>
  <c r="F167" i="8"/>
  <c r="D167" i="8"/>
  <c r="G167" i="8" s="1"/>
  <c r="B167" i="8"/>
  <c r="F166" i="8"/>
  <c r="D166" i="8"/>
  <c r="G166" i="8" s="1"/>
  <c r="B166" i="8"/>
  <c r="F165" i="8"/>
  <c r="D165" i="8"/>
  <c r="G165" i="8" s="1"/>
  <c r="B165" i="8"/>
  <c r="F164" i="8"/>
  <c r="D164" i="8"/>
  <c r="G164" i="8" s="1"/>
  <c r="B164" i="8"/>
  <c r="F163" i="8"/>
  <c r="D163" i="8"/>
  <c r="G163" i="8" s="1"/>
  <c r="B163" i="8"/>
  <c r="F162" i="8"/>
  <c r="D162" i="8"/>
  <c r="G162" i="8" s="1"/>
  <c r="B162" i="8"/>
  <c r="F161" i="8"/>
  <c r="D161" i="8"/>
  <c r="G161" i="8" s="1"/>
  <c r="B161" i="8"/>
  <c r="F160" i="8"/>
  <c r="D160" i="8"/>
  <c r="G160" i="8" s="1"/>
  <c r="B160" i="8"/>
  <c r="F159" i="8"/>
  <c r="D159" i="8"/>
  <c r="G159" i="8" s="1"/>
  <c r="B159" i="8"/>
  <c r="F158" i="8"/>
  <c r="D158" i="8"/>
  <c r="G158" i="8" s="1"/>
  <c r="B158" i="8"/>
  <c r="F157" i="8"/>
  <c r="D157" i="8"/>
  <c r="G157" i="8" s="1"/>
  <c r="B157" i="8"/>
  <c r="F156" i="8"/>
  <c r="D156" i="8"/>
  <c r="G156" i="8" s="1"/>
  <c r="B156" i="8"/>
  <c r="F155" i="8"/>
  <c r="D155" i="8"/>
  <c r="G155" i="8" s="1"/>
  <c r="B155" i="8"/>
  <c r="E154" i="8"/>
  <c r="F154" i="8" s="1"/>
  <c r="H154" i="8" s="1"/>
  <c r="D154" i="8"/>
  <c r="B154" i="8"/>
  <c r="F153" i="8"/>
  <c r="D153" i="8"/>
  <c r="G153" i="8" s="1"/>
  <c r="B153" i="8"/>
  <c r="F152" i="8"/>
  <c r="D152" i="8"/>
  <c r="G152" i="8" s="1"/>
  <c r="B152" i="8"/>
  <c r="F151" i="8"/>
  <c r="D151" i="8"/>
  <c r="G151" i="8" s="1"/>
  <c r="B151" i="8"/>
  <c r="F150" i="8"/>
  <c r="D150" i="8"/>
  <c r="G150" i="8" s="1"/>
  <c r="B150" i="8"/>
  <c r="F149" i="8"/>
  <c r="D149" i="8"/>
  <c r="G149" i="8" s="1"/>
  <c r="B149" i="8"/>
  <c r="F148" i="8"/>
  <c r="D148" i="8"/>
  <c r="G148" i="8" s="1"/>
  <c r="B148" i="8"/>
  <c r="E147" i="8"/>
  <c r="F147" i="8" s="1"/>
  <c r="D147" i="8"/>
  <c r="B147" i="8"/>
  <c r="F146" i="8"/>
  <c r="D146" i="8"/>
  <c r="G146" i="8" s="1"/>
  <c r="B146" i="8"/>
  <c r="F145" i="8"/>
  <c r="D145" i="8"/>
  <c r="G145" i="8" s="1"/>
  <c r="B145" i="8"/>
  <c r="F144" i="8"/>
  <c r="D144" i="8"/>
  <c r="B144" i="8"/>
  <c r="F143" i="8"/>
  <c r="D143" i="8"/>
  <c r="G143" i="8" s="1"/>
  <c r="B143" i="8"/>
  <c r="F142" i="8"/>
  <c r="D142" i="8"/>
  <c r="G142" i="8" s="1"/>
  <c r="B142" i="8"/>
  <c r="F141" i="8"/>
  <c r="D141" i="8"/>
  <c r="G141" i="8" s="1"/>
  <c r="B141" i="8"/>
  <c r="F140" i="8"/>
  <c r="D140" i="8"/>
  <c r="G140" i="8" s="1"/>
  <c r="B140" i="8"/>
  <c r="F139" i="8"/>
  <c r="D139" i="8"/>
  <c r="G139" i="8" s="1"/>
  <c r="B139" i="8"/>
  <c r="F138" i="8"/>
  <c r="D138" i="8"/>
  <c r="G138" i="8" s="1"/>
  <c r="B138" i="8"/>
  <c r="F137" i="8"/>
  <c r="D137" i="8"/>
  <c r="G137" i="8" s="1"/>
  <c r="B137" i="8"/>
  <c r="D136" i="8"/>
  <c r="B136" i="8"/>
  <c r="E135" i="8"/>
  <c r="F135" i="8" s="1"/>
  <c r="D135" i="8"/>
  <c r="B135" i="8"/>
  <c r="E134" i="8"/>
  <c r="F134" i="8" s="1"/>
  <c r="D134" i="8"/>
  <c r="B134" i="8"/>
  <c r="E133" i="8"/>
  <c r="F133" i="8" s="1"/>
  <c r="D133" i="8"/>
  <c r="B133" i="8"/>
  <c r="E132" i="8"/>
  <c r="F132" i="8" s="1"/>
  <c r="D132" i="8"/>
  <c r="B132" i="8"/>
  <c r="D5" i="8" s="1"/>
  <c r="F131" i="8"/>
  <c r="D131" i="8"/>
  <c r="G131" i="8" s="1"/>
  <c r="B131" i="8"/>
  <c r="F130" i="8"/>
  <c r="D130" i="8"/>
  <c r="G130" i="8" s="1"/>
  <c r="B130" i="8"/>
  <c r="F129" i="8"/>
  <c r="D129" i="8"/>
  <c r="G129" i="8" s="1"/>
  <c r="B129" i="8"/>
  <c r="F128" i="8"/>
  <c r="D128" i="8"/>
  <c r="G128" i="8" s="1"/>
  <c r="B128" i="8"/>
  <c r="F127" i="8"/>
  <c r="D127" i="8"/>
  <c r="G127" i="8" s="1"/>
  <c r="B127" i="8"/>
  <c r="F126" i="8"/>
  <c r="D126" i="8"/>
  <c r="G126" i="8" s="1"/>
  <c r="B126" i="8"/>
  <c r="F125" i="8"/>
  <c r="D125" i="8"/>
  <c r="G125" i="8" s="1"/>
  <c r="B125" i="8"/>
  <c r="F124" i="8"/>
  <c r="D124" i="8"/>
  <c r="G124" i="8" s="1"/>
  <c r="B124" i="8"/>
  <c r="F123" i="8"/>
  <c r="D123" i="8"/>
  <c r="G123" i="8" s="1"/>
  <c r="B123" i="8"/>
  <c r="F122" i="8"/>
  <c r="D122" i="8"/>
  <c r="G122" i="8" s="1"/>
  <c r="B122" i="8"/>
  <c r="F121" i="8"/>
  <c r="D121" i="8"/>
  <c r="G121" i="8" s="1"/>
  <c r="B121" i="8"/>
  <c r="F120" i="8"/>
  <c r="D120" i="8"/>
  <c r="G120" i="8" s="1"/>
  <c r="B120" i="8"/>
  <c r="F119" i="8"/>
  <c r="D119" i="8"/>
  <c r="G119" i="8" s="1"/>
  <c r="B119" i="8"/>
  <c r="F118" i="8"/>
  <c r="D118" i="8"/>
  <c r="G118" i="8" s="1"/>
  <c r="B118" i="8"/>
  <c r="F117" i="8"/>
  <c r="D117" i="8"/>
  <c r="G117" i="8" s="1"/>
  <c r="B117" i="8"/>
  <c r="F116" i="8"/>
  <c r="D116" i="8"/>
  <c r="G116" i="8" s="1"/>
  <c r="B116" i="8"/>
  <c r="F115" i="8"/>
  <c r="D115" i="8"/>
  <c r="G115" i="8" s="1"/>
  <c r="B115" i="8"/>
  <c r="F114" i="8"/>
  <c r="D114" i="8"/>
  <c r="G114" i="8" s="1"/>
  <c r="B114" i="8"/>
  <c r="E113" i="8"/>
  <c r="F113" i="8" s="1"/>
  <c r="H113" i="8" s="1"/>
  <c r="D113" i="8"/>
  <c r="B113" i="8"/>
  <c r="F112" i="8"/>
  <c r="D112" i="8"/>
  <c r="B112" i="8"/>
  <c r="F111" i="8"/>
  <c r="D111" i="8"/>
  <c r="G111" i="8" s="1"/>
  <c r="B111" i="8"/>
  <c r="F110" i="8"/>
  <c r="D110" i="8"/>
  <c r="G110" i="8" s="1"/>
  <c r="B110" i="8"/>
  <c r="F109" i="8"/>
  <c r="D109" i="8"/>
  <c r="G109" i="8" s="1"/>
  <c r="B109" i="8"/>
  <c r="F108" i="8"/>
  <c r="D108" i="8"/>
  <c r="G108" i="8" s="1"/>
  <c r="C108" i="8"/>
  <c r="B108" i="8"/>
  <c r="F107" i="8"/>
  <c r="D107" i="8"/>
  <c r="G107" i="8" s="1"/>
  <c r="B107" i="8"/>
  <c r="E106" i="8"/>
  <c r="F106" i="8" s="1"/>
  <c r="D106" i="8"/>
  <c r="B106" i="8"/>
  <c r="F105" i="8"/>
  <c r="D105" i="8"/>
  <c r="G105" i="8" s="1"/>
  <c r="B105" i="8"/>
  <c r="F104" i="8"/>
  <c r="D104" i="8"/>
  <c r="B104" i="8"/>
  <c r="F103" i="8"/>
  <c r="D103" i="8"/>
  <c r="G103" i="8" s="1"/>
  <c r="B103" i="8"/>
  <c r="F102" i="8"/>
  <c r="D102" i="8"/>
  <c r="G102" i="8" s="1"/>
  <c r="B102" i="8"/>
  <c r="F101" i="8"/>
  <c r="D101" i="8"/>
  <c r="G101" i="8" s="1"/>
  <c r="B101" i="8"/>
  <c r="F100" i="8"/>
  <c r="D100" i="8"/>
  <c r="G100" i="8" s="1"/>
  <c r="B100" i="8"/>
  <c r="F99" i="8"/>
  <c r="D99" i="8"/>
  <c r="G99" i="8" s="1"/>
  <c r="B99" i="8"/>
  <c r="F98" i="8"/>
  <c r="D98" i="8"/>
  <c r="G98" i="8" s="1"/>
  <c r="B98" i="8"/>
  <c r="F97" i="8"/>
  <c r="D97" i="8"/>
  <c r="G97" i="8" s="1"/>
  <c r="B97" i="8"/>
  <c r="F96" i="8"/>
  <c r="D96" i="8"/>
  <c r="G96" i="8" s="1"/>
  <c r="C96" i="8"/>
  <c r="B96" i="8"/>
  <c r="D95" i="8"/>
  <c r="B95" i="8"/>
  <c r="E94" i="8"/>
  <c r="F94" i="8" s="1"/>
  <c r="D94" i="8"/>
  <c r="B94" i="8"/>
  <c r="E93" i="8"/>
  <c r="F93" i="8" s="1"/>
  <c r="D93" i="8"/>
  <c r="B93" i="8"/>
  <c r="E92" i="8"/>
  <c r="F92" i="8" s="1"/>
  <c r="D92" i="8"/>
  <c r="B92" i="8"/>
  <c r="E91" i="8"/>
  <c r="F91" i="8" s="1"/>
  <c r="D91" i="8"/>
  <c r="B91" i="8"/>
  <c r="D4" i="8" s="1"/>
  <c r="E4" i="8" s="1"/>
  <c r="F90" i="8"/>
  <c r="D90" i="8"/>
  <c r="G90" i="8" s="1"/>
  <c r="B90" i="8"/>
  <c r="F89" i="8"/>
  <c r="D89" i="8"/>
  <c r="G89" i="8" s="1"/>
  <c r="B89" i="8"/>
  <c r="F88" i="8"/>
  <c r="D88" i="8"/>
  <c r="G88" i="8" s="1"/>
  <c r="B88" i="8"/>
  <c r="F87" i="8"/>
  <c r="D87" i="8"/>
  <c r="G87" i="8" s="1"/>
  <c r="B87" i="8"/>
  <c r="F86" i="8"/>
  <c r="D86" i="8"/>
  <c r="G86" i="8" s="1"/>
  <c r="B86" i="8"/>
  <c r="F85" i="8"/>
  <c r="D85" i="8"/>
  <c r="G85" i="8" s="1"/>
  <c r="B85" i="8"/>
  <c r="F84" i="8"/>
  <c r="D84" i="8"/>
  <c r="G84" i="8" s="1"/>
  <c r="B84" i="8"/>
  <c r="F83" i="8"/>
  <c r="D83" i="8"/>
  <c r="G83" i="8" s="1"/>
  <c r="B83" i="8"/>
  <c r="F82" i="8"/>
  <c r="D82" i="8"/>
  <c r="G82" i="8" s="1"/>
  <c r="B82" i="8"/>
  <c r="F81" i="8"/>
  <c r="D81" i="8"/>
  <c r="G81" i="8" s="1"/>
  <c r="B81" i="8"/>
  <c r="F80" i="8"/>
  <c r="D80" i="8"/>
  <c r="G80" i="8" s="1"/>
  <c r="B80" i="8"/>
  <c r="F79" i="8"/>
  <c r="D79" i="8"/>
  <c r="G79" i="8" s="1"/>
  <c r="B79" i="8"/>
  <c r="F78" i="8"/>
  <c r="D78" i="8"/>
  <c r="G78" i="8" s="1"/>
  <c r="B78" i="8"/>
  <c r="F77" i="8"/>
  <c r="D77" i="8"/>
  <c r="G77" i="8" s="1"/>
  <c r="B77" i="8"/>
  <c r="F76" i="8"/>
  <c r="D76" i="8"/>
  <c r="G76" i="8" s="1"/>
  <c r="B76" i="8"/>
  <c r="F75" i="8"/>
  <c r="D75" i="8"/>
  <c r="G75" i="8" s="1"/>
  <c r="B75" i="8"/>
  <c r="F74" i="8"/>
  <c r="D74" i="8"/>
  <c r="G74" i="8" s="1"/>
  <c r="B74" i="8"/>
  <c r="F73" i="8"/>
  <c r="D73" i="8"/>
  <c r="G73" i="8" s="1"/>
  <c r="B73" i="8"/>
  <c r="E72" i="8"/>
  <c r="F72" i="8" s="1"/>
  <c r="H72" i="8" s="1"/>
  <c r="D72" i="8"/>
  <c r="B72" i="8"/>
  <c r="F71" i="8"/>
  <c r="D71" i="8"/>
  <c r="G71" i="8" s="1"/>
  <c r="B71" i="8"/>
  <c r="F70" i="8"/>
  <c r="D70" i="8"/>
  <c r="G70" i="8" s="1"/>
  <c r="B70" i="8"/>
  <c r="F69" i="8"/>
  <c r="D69" i="8"/>
  <c r="G69" i="8" s="1"/>
  <c r="B69" i="8"/>
  <c r="F68" i="8"/>
  <c r="D68" i="8"/>
  <c r="G68" i="8" s="1"/>
  <c r="B68" i="8"/>
  <c r="F67" i="8"/>
  <c r="D67" i="8"/>
  <c r="G67" i="8" s="1"/>
  <c r="B67" i="8"/>
  <c r="F66" i="8"/>
  <c r="D66" i="8"/>
  <c r="G66" i="8" s="1"/>
  <c r="B66" i="8"/>
  <c r="E65" i="8"/>
  <c r="F65" i="8" s="1"/>
  <c r="D65" i="8"/>
  <c r="B65" i="8"/>
  <c r="F64" i="8"/>
  <c r="D64" i="8"/>
  <c r="G64" i="8" s="1"/>
  <c r="B64" i="8"/>
  <c r="F63" i="8"/>
  <c r="D63" i="8"/>
  <c r="G63" i="8" s="1"/>
  <c r="B63" i="8"/>
  <c r="F62" i="8"/>
  <c r="D62" i="8"/>
  <c r="G62" i="8" s="1"/>
  <c r="B62" i="8"/>
  <c r="F61" i="8"/>
  <c r="D61" i="8"/>
  <c r="G61" i="8" s="1"/>
  <c r="B61" i="8"/>
  <c r="F60" i="8"/>
  <c r="D60" i="8"/>
  <c r="G60" i="8" s="1"/>
  <c r="B60" i="8"/>
  <c r="F59" i="8"/>
  <c r="D59" i="8"/>
  <c r="G59" i="8" s="1"/>
  <c r="B59" i="8"/>
  <c r="F58" i="8"/>
  <c r="D58" i="8"/>
  <c r="G58" i="8" s="1"/>
  <c r="B58" i="8"/>
  <c r="F57" i="8"/>
  <c r="D57" i="8"/>
  <c r="G57" i="8" s="1"/>
  <c r="B57" i="8"/>
  <c r="F56" i="8"/>
  <c r="D56" i="8"/>
  <c r="G56" i="8" s="1"/>
  <c r="B56" i="8"/>
  <c r="F55" i="8"/>
  <c r="D55" i="8"/>
  <c r="G55" i="8" s="1"/>
  <c r="B55" i="8"/>
  <c r="D54" i="8"/>
  <c r="B54" i="8"/>
  <c r="E53" i="8"/>
  <c r="F53" i="8" s="1"/>
  <c r="D53" i="8"/>
  <c r="B53" i="8"/>
  <c r="E52" i="8"/>
  <c r="F52" i="8" s="1"/>
  <c r="D52" i="8"/>
  <c r="B52" i="8"/>
  <c r="E51" i="8"/>
  <c r="F51" i="8" s="1"/>
  <c r="D51" i="8"/>
  <c r="B51" i="8"/>
  <c r="E50" i="8"/>
  <c r="F50" i="8" s="1"/>
  <c r="D50" i="8"/>
  <c r="B50" i="8"/>
  <c r="D3" i="8" s="1"/>
  <c r="F49" i="8"/>
  <c r="F48" i="8"/>
  <c r="F47" i="8"/>
  <c r="F46" i="8"/>
  <c r="F45" i="8"/>
  <c r="F44" i="8"/>
  <c r="F43" i="8"/>
  <c r="F42" i="8"/>
  <c r="F41" i="8"/>
  <c r="F40" i="8"/>
  <c r="F39" i="8"/>
  <c r="F38" i="8"/>
  <c r="F37" i="8"/>
  <c r="F36" i="8"/>
  <c r="F35" i="8"/>
  <c r="F34" i="8"/>
  <c r="F33" i="8"/>
  <c r="F32" i="8"/>
  <c r="F30" i="8"/>
  <c r="F29" i="8"/>
  <c r="F28" i="8"/>
  <c r="F27" i="8"/>
  <c r="F26" i="8"/>
  <c r="F25" i="8"/>
  <c r="F23" i="8"/>
  <c r="F22" i="8"/>
  <c r="F21" i="8"/>
  <c r="F20" i="8"/>
  <c r="F19" i="8"/>
  <c r="F18" i="8"/>
  <c r="F17" i="8"/>
  <c r="F16" i="8"/>
  <c r="F15" i="8"/>
  <c r="F14" i="8"/>
  <c r="E9" i="8"/>
  <c r="F9" i="8" s="1"/>
  <c r="E10" i="8"/>
  <c r="E11" i="8"/>
  <c r="E12" i="8"/>
  <c r="E24" i="8"/>
  <c r="E31" i="8"/>
  <c r="D49" i="8"/>
  <c r="G49" i="8" s="1"/>
  <c r="D48" i="8"/>
  <c r="G48" i="8" s="1"/>
  <c r="D47" i="8"/>
  <c r="G47" i="8" s="1"/>
  <c r="D46" i="8"/>
  <c r="G46" i="8" s="1"/>
  <c r="D45" i="8"/>
  <c r="G45" i="8" s="1"/>
  <c r="D44" i="8"/>
  <c r="G44" i="8" s="1"/>
  <c r="D43" i="8"/>
  <c r="G43" i="8" s="1"/>
  <c r="D42" i="8"/>
  <c r="G42" i="8" s="1"/>
  <c r="D41" i="8"/>
  <c r="G41" i="8" s="1"/>
  <c r="D40" i="8"/>
  <c r="G40" i="8" s="1"/>
  <c r="D39" i="8"/>
  <c r="G39" i="8" s="1"/>
  <c r="D38" i="8"/>
  <c r="G38" i="8" s="1"/>
  <c r="D37" i="8"/>
  <c r="G37" i="8" s="1"/>
  <c r="D36" i="8"/>
  <c r="G36" i="8" s="1"/>
  <c r="D35" i="8"/>
  <c r="G35" i="8" s="1"/>
  <c r="D34" i="8"/>
  <c r="G34" i="8" s="1"/>
  <c r="D33" i="8"/>
  <c r="G33" i="8" s="1"/>
  <c r="D32" i="8"/>
  <c r="G32" i="8" s="1"/>
  <c r="D31" i="8"/>
  <c r="D30" i="8"/>
  <c r="G30" i="8" s="1"/>
  <c r="D29" i="8"/>
  <c r="G29" i="8" s="1"/>
  <c r="D28" i="8"/>
  <c r="G28" i="8" s="1"/>
  <c r="D27" i="8"/>
  <c r="G27" i="8" s="1"/>
  <c r="D26" i="8"/>
  <c r="G26" i="8" s="1"/>
  <c r="D25" i="8"/>
  <c r="G25" i="8" s="1"/>
  <c r="D24" i="8"/>
  <c r="D23" i="8"/>
  <c r="G23" i="8" s="1"/>
  <c r="D22" i="8"/>
  <c r="G22" i="8" s="1"/>
  <c r="D21" i="8"/>
  <c r="G21" i="8" s="1"/>
  <c r="D20" i="8"/>
  <c r="G20" i="8" s="1"/>
  <c r="D19" i="8"/>
  <c r="G19" i="8" s="1"/>
  <c r="D18" i="8"/>
  <c r="G18" i="8" s="1"/>
  <c r="D17" i="8"/>
  <c r="G17" i="8" s="1"/>
  <c r="D16" i="8"/>
  <c r="G16" i="8" s="1"/>
  <c r="D15" i="8"/>
  <c r="G15" i="8" s="1"/>
  <c r="D14" i="8"/>
  <c r="G14" i="8" s="1"/>
  <c r="D13" i="8"/>
  <c r="D12" i="8"/>
  <c r="D11" i="8"/>
  <c r="D10" i="8"/>
  <c r="D9" i="8"/>
  <c r="C212" i="8"/>
  <c r="C135" i="8"/>
  <c r="C120" i="8"/>
  <c r="E54" i="8"/>
  <c r="F54" i="8" s="1"/>
  <c r="C89" i="8"/>
  <c r="E3" i="8" l="1"/>
  <c r="H120" i="8"/>
  <c r="H96" i="8"/>
  <c r="H128" i="8"/>
  <c r="C106" i="8"/>
  <c r="G144" i="8"/>
  <c r="H144" i="8" s="1"/>
  <c r="G212" i="8"/>
  <c r="H212" i="8" s="1"/>
  <c r="C110" i="8"/>
  <c r="C100" i="8"/>
  <c r="C104" i="8"/>
  <c r="G104" i="8"/>
  <c r="H104" i="8" s="1"/>
  <c r="C98" i="8"/>
  <c r="H115" i="8"/>
  <c r="G202" i="8"/>
  <c r="H202" i="8" s="1"/>
  <c r="C112" i="8"/>
  <c r="E136" i="8"/>
  <c r="F136" i="8" s="1"/>
  <c r="H136" i="8" s="1"/>
  <c r="C102" i="8"/>
  <c r="G112" i="8"/>
  <c r="H112" i="8" s="1"/>
  <c r="G211" i="8"/>
  <c r="H211" i="8" s="1"/>
  <c r="H199" i="8"/>
  <c r="H207" i="8"/>
  <c r="H140" i="8"/>
  <c r="H137" i="8"/>
  <c r="H153" i="8"/>
  <c r="H158" i="8"/>
  <c r="H203" i="8"/>
  <c r="H169" i="8"/>
  <c r="H191" i="8"/>
  <c r="H179" i="8"/>
  <c r="H187" i="8"/>
  <c r="H71" i="8"/>
  <c r="H99" i="8"/>
  <c r="H123" i="8"/>
  <c r="E5" i="8"/>
  <c r="E6" i="8"/>
  <c r="C50" i="8"/>
  <c r="C52" i="8"/>
  <c r="C54" i="8"/>
  <c r="C56" i="8"/>
  <c r="C58" i="8"/>
  <c r="C60" i="8"/>
  <c r="C62" i="8"/>
  <c r="C64" i="8"/>
  <c r="C66" i="8"/>
  <c r="C68" i="8"/>
  <c r="C70" i="8"/>
  <c r="C72" i="8"/>
  <c r="C74" i="8"/>
  <c r="C76" i="8"/>
  <c r="C78" i="8"/>
  <c r="C80" i="8"/>
  <c r="C82" i="8"/>
  <c r="C84" i="8"/>
  <c r="C86" i="8"/>
  <c r="C88" i="8"/>
  <c r="C90" i="8"/>
  <c r="H118" i="8"/>
  <c r="C122" i="8"/>
  <c r="C124" i="8"/>
  <c r="C126" i="8"/>
  <c r="C128" i="8"/>
  <c r="C130" i="8"/>
  <c r="C179" i="8"/>
  <c r="H80" i="8"/>
  <c r="H88" i="8"/>
  <c r="C138" i="8"/>
  <c r="C140" i="8"/>
  <c r="C142" i="8"/>
  <c r="C144" i="8"/>
  <c r="C146" i="8"/>
  <c r="C148" i="8"/>
  <c r="C150" i="8"/>
  <c r="C152" i="8"/>
  <c r="C154" i="8"/>
  <c r="C156" i="8"/>
  <c r="C158" i="8"/>
  <c r="C160" i="8"/>
  <c r="C162" i="8"/>
  <c r="C164" i="8"/>
  <c r="C166" i="8"/>
  <c r="C168" i="8"/>
  <c r="C170" i="8"/>
  <c r="C172" i="8"/>
  <c r="C173" i="8"/>
  <c r="C175" i="8"/>
  <c r="C177" i="8"/>
  <c r="C181" i="8"/>
  <c r="C183" i="8"/>
  <c r="C185" i="8"/>
  <c r="C187" i="8"/>
  <c r="C189" i="8"/>
  <c r="C191" i="8"/>
  <c r="C193" i="8"/>
  <c r="C195" i="8"/>
  <c r="C197" i="8"/>
  <c r="C199" i="8"/>
  <c r="C201" i="8"/>
  <c r="C203" i="8"/>
  <c r="C205" i="8"/>
  <c r="C207" i="8"/>
  <c r="C209" i="8"/>
  <c r="C211" i="8"/>
  <c r="C213" i="8"/>
  <c r="C97" i="8"/>
  <c r="C99" i="8"/>
  <c r="C101" i="8"/>
  <c r="C103" i="8"/>
  <c r="C105" i="8"/>
  <c r="C107" i="8"/>
  <c r="C109" i="8"/>
  <c r="C111" i="8"/>
  <c r="C132" i="8"/>
  <c r="C134" i="8"/>
  <c r="C136" i="8"/>
  <c r="H138" i="8"/>
  <c r="H162" i="8"/>
  <c r="H170" i="8"/>
  <c r="H185" i="8"/>
  <c r="C91" i="8"/>
  <c r="C93" i="8"/>
  <c r="C95" i="8"/>
  <c r="C113" i="8"/>
  <c r="C115" i="8"/>
  <c r="C117" i="8"/>
  <c r="C119" i="8"/>
  <c r="H146" i="8"/>
  <c r="H201" i="8"/>
  <c r="C51" i="8"/>
  <c r="C53" i="8"/>
  <c r="C55" i="8"/>
  <c r="C57" i="8"/>
  <c r="C59" i="8"/>
  <c r="C61" i="8"/>
  <c r="C63" i="8"/>
  <c r="C65" i="8"/>
  <c r="C67" i="8"/>
  <c r="C69" i="8"/>
  <c r="C71" i="8"/>
  <c r="C73" i="8"/>
  <c r="C75" i="8"/>
  <c r="C77" i="8"/>
  <c r="C79" i="8"/>
  <c r="C81" i="8"/>
  <c r="C83" i="8"/>
  <c r="C85" i="8"/>
  <c r="C87" i="8"/>
  <c r="C121" i="8"/>
  <c r="C123" i="8"/>
  <c r="C125" i="8"/>
  <c r="C127" i="8"/>
  <c r="C129" i="8"/>
  <c r="C131" i="8"/>
  <c r="C178" i="8"/>
  <c r="H57" i="8"/>
  <c r="H121" i="8"/>
  <c r="H129" i="8"/>
  <c r="H131" i="8"/>
  <c r="C137" i="8"/>
  <c r="C139" i="8"/>
  <c r="C141" i="8"/>
  <c r="C143" i="8"/>
  <c r="C145" i="8"/>
  <c r="C147" i="8"/>
  <c r="C149" i="8"/>
  <c r="C151" i="8"/>
  <c r="C153" i="8"/>
  <c r="C155" i="8"/>
  <c r="C157" i="8"/>
  <c r="C159" i="8"/>
  <c r="C161" i="8"/>
  <c r="C163" i="8"/>
  <c r="C165" i="8"/>
  <c r="C167" i="8"/>
  <c r="C169" i="8"/>
  <c r="C171" i="8"/>
  <c r="C174" i="8"/>
  <c r="C176" i="8"/>
  <c r="C180" i="8"/>
  <c r="C182" i="8"/>
  <c r="C184" i="8"/>
  <c r="C186" i="8"/>
  <c r="C188" i="8"/>
  <c r="C190" i="8"/>
  <c r="C192" i="8"/>
  <c r="C194" i="8"/>
  <c r="C196" i="8"/>
  <c r="C198" i="8"/>
  <c r="C200" i="8"/>
  <c r="C202" i="8"/>
  <c r="C204" i="8"/>
  <c r="C206" i="8"/>
  <c r="C208" i="8"/>
  <c r="C210" i="8"/>
  <c r="C133" i="8"/>
  <c r="H151" i="8"/>
  <c r="H159" i="8"/>
  <c r="H167" i="8"/>
  <c r="H194" i="8"/>
  <c r="C92" i="8"/>
  <c r="C94" i="8"/>
  <c r="H102" i="8"/>
  <c r="H110" i="8"/>
  <c r="C114" i="8"/>
  <c r="C116" i="8"/>
  <c r="C118" i="8"/>
  <c r="E177" i="8"/>
  <c r="F177" i="8" s="1"/>
  <c r="E95" i="8"/>
  <c r="F95" i="8" s="1"/>
  <c r="H134" i="8"/>
  <c r="H54" i="8"/>
  <c r="H178" i="8"/>
  <c r="H182" i="8"/>
  <c r="H186" i="8"/>
  <c r="H198" i="8"/>
  <c r="H126" i="8"/>
  <c r="H125" i="8"/>
  <c r="H127" i="8"/>
  <c r="H142" i="8"/>
  <c r="H150" i="8"/>
  <c r="H166" i="8"/>
  <c r="H192" i="8"/>
  <c r="H200" i="8"/>
  <c r="H208" i="8"/>
  <c r="H147" i="8"/>
  <c r="H65" i="8"/>
  <c r="H94" i="8"/>
  <c r="H135" i="8"/>
  <c r="H176" i="8"/>
  <c r="H52" i="8"/>
  <c r="H53" i="8"/>
  <c r="H93" i="8"/>
  <c r="H101" i="8"/>
  <c r="H109" i="8"/>
  <c r="H117" i="8"/>
  <c r="H133" i="8"/>
  <c r="H141" i="8"/>
  <c r="H171" i="8"/>
  <c r="H163" i="8"/>
  <c r="H180" i="8"/>
  <c r="H184" i="8"/>
  <c r="H181" i="8"/>
  <c r="H188" i="8"/>
  <c r="H196" i="8"/>
  <c r="H204" i="8"/>
  <c r="H189" i="8"/>
  <c r="H213" i="8"/>
  <c r="H175" i="8"/>
  <c r="H183" i="8"/>
  <c r="H193" i="8"/>
  <c r="H145" i="8"/>
  <c r="H149" i="8"/>
  <c r="H132" i="8"/>
  <c r="H157" i="8"/>
  <c r="H161" i="8"/>
  <c r="H165" i="8"/>
  <c r="H92" i="8"/>
  <c r="H100" i="8"/>
  <c r="H106" i="8"/>
  <c r="H114" i="8"/>
  <c r="H116" i="8"/>
  <c r="H98" i="8"/>
  <c r="H122" i="8"/>
  <c r="H124" i="8"/>
  <c r="H97" i="8"/>
  <c r="H130" i="8"/>
  <c r="H103" i="8"/>
  <c r="H105" i="8"/>
  <c r="H59" i="8"/>
  <c r="H67" i="8"/>
  <c r="H83" i="8"/>
  <c r="H74" i="8"/>
  <c r="H82" i="8"/>
  <c r="H90" i="8"/>
  <c r="H205" i="8"/>
  <c r="H209" i="8"/>
  <c r="H197" i="8"/>
  <c r="H210" i="8"/>
  <c r="H190" i="8"/>
  <c r="H206" i="8"/>
  <c r="H155" i="8"/>
  <c r="H160" i="8"/>
  <c r="H164" i="8"/>
  <c r="H152" i="8"/>
  <c r="H168" i="8"/>
  <c r="H143" i="8"/>
  <c r="H148" i="8"/>
  <c r="H139" i="8"/>
  <c r="H156" i="8"/>
  <c r="H172" i="8"/>
  <c r="H108" i="8"/>
  <c r="H119" i="8"/>
  <c r="H91" i="8"/>
  <c r="H107" i="8"/>
  <c r="H111" i="8"/>
  <c r="H55" i="8"/>
  <c r="H50" i="8"/>
  <c r="H62" i="8"/>
  <c r="H63" i="8"/>
  <c r="H79" i="8"/>
  <c r="H87" i="8"/>
  <c r="H56" i="8"/>
  <c r="H58" i="8"/>
  <c r="H76" i="8"/>
  <c r="H78" i="8"/>
  <c r="H69" i="8"/>
  <c r="H64" i="8"/>
  <c r="H84" i="8"/>
  <c r="H86" i="8"/>
  <c r="H61" i="8"/>
  <c r="H66" i="8"/>
  <c r="H73" i="8"/>
  <c r="H75" i="8"/>
  <c r="H70" i="8"/>
  <c r="H85" i="8"/>
  <c r="H89" i="8"/>
  <c r="H68" i="8"/>
  <c r="H77" i="8"/>
  <c r="H81" i="8"/>
  <c r="H60" i="8"/>
  <c r="F12"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9" i="8"/>
  <c r="D2" i="8" s="1"/>
  <c r="E2" i="8" s="1"/>
  <c r="F31" i="8"/>
  <c r="F24" i="8"/>
  <c r="F11" i="8"/>
  <c r="F10" i="8"/>
  <c r="C11" i="8"/>
  <c r="K22" i="25" l="1"/>
  <c r="K23" i="25" s="1"/>
  <c r="H177" i="8"/>
  <c r="H95" i="8"/>
  <c r="C30" i="8"/>
  <c r="C41" i="8"/>
  <c r="C34" i="8"/>
  <c r="C14" i="8"/>
  <c r="C46" i="8"/>
  <c r="C25" i="8"/>
  <c r="C29" i="8"/>
  <c r="C45" i="8"/>
  <c r="C18" i="8"/>
  <c r="C9" i="8"/>
  <c r="C49" i="8"/>
  <c r="C38" i="8"/>
  <c r="C33" i="8"/>
  <c r="C22" i="8"/>
  <c r="C17" i="8"/>
  <c r="C42" i="8"/>
  <c r="C37" i="8"/>
  <c r="C26" i="8"/>
  <c r="C21" i="8"/>
  <c r="C10" i="8"/>
  <c r="C13" i="8"/>
  <c r="C48" i="8"/>
  <c r="C44" i="8"/>
  <c r="C40" i="8"/>
  <c r="C36" i="8"/>
  <c r="C32" i="8"/>
  <c r="C28" i="8"/>
  <c r="C24" i="8"/>
  <c r="C20" i="8"/>
  <c r="C16" i="8"/>
  <c r="C12" i="8"/>
  <c r="C47" i="8"/>
  <c r="C43" i="8"/>
  <c r="C39" i="8"/>
  <c r="C35" i="8"/>
  <c r="C31" i="8"/>
  <c r="C27" i="8"/>
  <c r="C23" i="8"/>
  <c r="C19" i="8"/>
  <c r="C15" i="8"/>
  <c r="H33" i="8" l="1"/>
  <c r="H34" i="8"/>
  <c r="H35" i="8"/>
  <c r="H36" i="8"/>
  <c r="H32" i="8"/>
  <c r="G11" i="8"/>
  <c r="H11" i="8" s="1"/>
  <c r="O20" i="2"/>
  <c r="O19" i="2"/>
  <c r="O18" i="2"/>
  <c r="O17" i="2"/>
  <c r="O16" i="2"/>
  <c r="O15" i="2"/>
  <c r="O14" i="2"/>
  <c r="O13" i="2"/>
  <c r="O12" i="2"/>
  <c r="O11" i="2"/>
  <c r="O10" i="2"/>
  <c r="O9" i="2"/>
  <c r="O8" i="2"/>
  <c r="O6" i="2"/>
  <c r="O5" i="2"/>
  <c r="O4" i="2"/>
  <c r="O3" i="2"/>
  <c r="O7" i="2"/>
  <c r="N20" i="2"/>
  <c r="N19" i="2"/>
  <c r="N18" i="2"/>
  <c r="N17" i="2"/>
  <c r="N16" i="2"/>
  <c r="G31" i="8" s="1"/>
  <c r="H31" i="8" s="1"/>
  <c r="N15" i="2"/>
  <c r="N14" i="2"/>
  <c r="N13" i="2"/>
  <c r="N12" i="2"/>
  <c r="N11" i="2"/>
  <c r="N10" i="2"/>
  <c r="N9" i="2"/>
  <c r="N8" i="2"/>
  <c r="N6" i="2"/>
  <c r="N5" i="2"/>
  <c r="N4" i="2"/>
  <c r="N3" i="2"/>
  <c r="N7" i="2"/>
  <c r="M20" i="2"/>
  <c r="M19" i="2"/>
  <c r="M18" i="2"/>
  <c r="M17" i="2"/>
  <c r="M16" i="2"/>
  <c r="M15" i="2"/>
  <c r="M14" i="2"/>
  <c r="M13" i="2"/>
  <c r="M12" i="2"/>
  <c r="M11" i="2"/>
  <c r="M10" i="2"/>
  <c r="M9" i="2"/>
  <c r="M8" i="2"/>
  <c r="M7" i="2"/>
  <c r="M6" i="2"/>
  <c r="M5" i="2"/>
  <c r="M4" i="2"/>
  <c r="M3" i="2"/>
  <c r="L20" i="2"/>
  <c r="L19" i="2"/>
  <c r="L18" i="2"/>
  <c r="L17" i="2"/>
  <c r="L16" i="2"/>
  <c r="L15" i="2"/>
  <c r="L14" i="2"/>
  <c r="L13" i="2"/>
  <c r="L12" i="2"/>
  <c r="L11" i="2"/>
  <c r="L10" i="2"/>
  <c r="L9" i="2"/>
  <c r="L6" i="2"/>
  <c r="L7" i="2"/>
  <c r="L4" i="2"/>
  <c r="L5" i="2"/>
  <c r="L3" i="2"/>
  <c r="K20" i="2"/>
  <c r="K19" i="2"/>
  <c r="K18" i="2"/>
  <c r="K17" i="2"/>
  <c r="K16" i="2"/>
  <c r="K14" i="2"/>
  <c r="K13" i="2"/>
  <c r="K15" i="2"/>
  <c r="K12" i="2"/>
  <c r="K11" i="2"/>
  <c r="K10" i="2"/>
  <c r="K9" i="2"/>
  <c r="K8" i="2"/>
  <c r="K4" i="2"/>
  <c r="K3" i="2"/>
  <c r="J20" i="2"/>
  <c r="J19" i="2"/>
  <c r="J18" i="2"/>
  <c r="J17" i="2"/>
  <c r="J16" i="2"/>
  <c r="J15" i="2"/>
  <c r="J14" i="2"/>
  <c r="J13" i="2"/>
  <c r="J12" i="2"/>
  <c r="J10" i="2"/>
  <c r="J11" i="2"/>
  <c r="J6" i="2"/>
  <c r="J5" i="2"/>
  <c r="J4" i="2"/>
  <c r="J3" i="2"/>
  <c r="J7" i="2"/>
  <c r="I20" i="2"/>
  <c r="I19" i="2"/>
  <c r="I18" i="2"/>
  <c r="I17" i="2"/>
  <c r="I16" i="2"/>
  <c r="I14" i="2"/>
  <c r="I15" i="2"/>
  <c r="I13" i="2"/>
  <c r="I11" i="2"/>
  <c r="I10" i="2"/>
  <c r="I9" i="2"/>
  <c r="I8" i="2"/>
  <c r="I12" i="2"/>
  <c r="I5" i="2"/>
  <c r="I3" i="2"/>
  <c r="I7" i="2"/>
  <c r="I4" i="2"/>
  <c r="H7" i="2"/>
  <c r="H6" i="2"/>
  <c r="H20" i="2"/>
  <c r="H19" i="2"/>
  <c r="H18" i="2"/>
  <c r="H17" i="2"/>
  <c r="H16" i="2"/>
  <c r="H14" i="2"/>
  <c r="H13" i="2"/>
  <c r="H12" i="2"/>
  <c r="H11" i="2"/>
  <c r="H10" i="2"/>
  <c r="H9" i="2"/>
  <c r="H8" i="2"/>
  <c r="H5" i="2"/>
  <c r="H4" i="2"/>
  <c r="H3" i="2"/>
  <c r="G51" i="8" l="1"/>
  <c r="H51" i="8" s="1"/>
  <c r="G10" i="8"/>
  <c r="H10" i="8" s="1"/>
  <c r="E13" i="8"/>
  <c r="F13" i="8" s="1"/>
  <c r="G9" i="8"/>
  <c r="H9" i="8" s="1"/>
  <c r="H44" i="8"/>
  <c r="G24" i="8"/>
  <c r="H24" i="8" s="1"/>
  <c r="H39" i="8"/>
  <c r="H47" i="8"/>
  <c r="H38" i="8"/>
  <c r="H45" i="8"/>
  <c r="H49" i="8"/>
  <c r="H46" i="8"/>
  <c r="H43" i="8"/>
  <c r="G12" i="8"/>
  <c r="H12" i="8" s="1"/>
  <c r="H37" i="8"/>
  <c r="H42" i="8"/>
  <c r="H41" i="8"/>
  <c r="H48" i="8"/>
  <c r="H40" i="8"/>
  <c r="H25" i="8"/>
  <c r="H30" i="8"/>
  <c r="H29" i="8"/>
  <c r="H28" i="8"/>
  <c r="H27" i="8"/>
  <c r="H26" i="8"/>
  <c r="H23" i="8"/>
  <c r="H21" i="8"/>
  <c r="H20" i="8"/>
  <c r="H18" i="8"/>
  <c r="H19" i="8"/>
  <c r="H14" i="8"/>
  <c r="H17" i="8"/>
  <c r="H16" i="8"/>
  <c r="H22" i="8"/>
  <c r="H15" i="8"/>
  <c r="F6" i="8" l="1"/>
  <c r="F5" i="8"/>
  <c r="F4" i="8"/>
  <c r="F3" i="8"/>
  <c r="H13" i="8"/>
  <c r="F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orito</author>
  </authors>
  <commentList>
    <comment ref="J1" authorId="0" shapeId="0" xr:uid="{85D09E49-4F6B-4D56-80CB-AEEF5045A77C}">
      <text>
        <r>
          <rPr>
            <b/>
            <sz val="9"/>
            <color indexed="81"/>
            <rFont val="MS P ゴシック"/>
            <family val="3"/>
            <charset val="128"/>
          </rPr>
          <t>作成日記入</t>
        </r>
      </text>
    </comment>
    <comment ref="C3" authorId="0" shapeId="0" xr:uid="{7B43FC55-24EE-4D0A-867E-9FB50F845FC3}">
      <text>
        <r>
          <rPr>
            <b/>
            <sz val="9"/>
            <color indexed="81"/>
            <rFont val="MS P ゴシック"/>
            <family val="3"/>
            <charset val="128"/>
          </rPr>
          <t>団体名記入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orito</author>
  </authors>
  <commentList>
    <comment ref="J1" authorId="0" shapeId="0" xr:uid="{28730313-6899-4F48-AD48-75B44872C17F}">
      <text>
        <r>
          <rPr>
            <b/>
            <sz val="9"/>
            <color indexed="81"/>
            <rFont val="MS P ゴシック"/>
            <family val="3"/>
            <charset val="128"/>
          </rPr>
          <t>作成日記入</t>
        </r>
      </text>
    </comment>
    <comment ref="C3" authorId="0" shapeId="0" xr:uid="{77C7EFB9-EC3E-42E9-81AC-E37F32B9A432}">
      <text>
        <r>
          <rPr>
            <b/>
            <sz val="9"/>
            <color indexed="81"/>
            <rFont val="MS P ゴシック"/>
            <family val="3"/>
            <charset val="128"/>
          </rPr>
          <t>団体名記入</t>
        </r>
      </text>
    </comment>
  </commentList>
</comments>
</file>

<file path=xl/sharedStrings.xml><?xml version="1.0" encoding="utf-8"?>
<sst xmlns="http://schemas.openxmlformats.org/spreadsheetml/2006/main" count="949" uniqueCount="272">
  <si>
    <t>■</t>
    <phoneticPr fontId="3"/>
  </si>
  <si>
    <t>確認事項</t>
    <rPh sb="0" eb="2">
      <t>カクニン</t>
    </rPh>
    <rPh sb="2" eb="4">
      <t>ジコウ</t>
    </rPh>
    <phoneticPr fontId="3"/>
  </si>
  <si>
    <t>振込手数料</t>
    <rPh sb="0" eb="2">
      <t>フリコミ</t>
    </rPh>
    <rPh sb="2" eb="5">
      <t>テスウリョウ</t>
    </rPh>
    <phoneticPr fontId="3"/>
  </si>
  <si>
    <t>お客様負担となります。</t>
    <rPh sb="1" eb="3">
      <t>キャクサマ</t>
    </rPh>
    <rPh sb="3" eb="5">
      <t>フタン</t>
    </rPh>
    <phoneticPr fontId="3"/>
  </si>
  <si>
    <t>領収書</t>
    <rPh sb="0" eb="3">
      <t>リョウシュウショ</t>
    </rPh>
    <phoneticPr fontId="3"/>
  </si>
  <si>
    <t>振込時に発行される振込明細書が領収書の代わりとして使用できます。別途、領収書が必要な場合は、振込のご連絡時に必要の旨をお伝えください。入金日の日付にて領収書を発行し、利用当日お渡しいたします。その際、領収書の宛名は団体名となります。</t>
    <rPh sb="0" eb="2">
      <t>フリコミ</t>
    </rPh>
    <rPh sb="2" eb="3">
      <t>ジ</t>
    </rPh>
    <rPh sb="4" eb="6">
      <t>ハッコウ</t>
    </rPh>
    <rPh sb="25" eb="27">
      <t>シヨウ</t>
    </rPh>
    <rPh sb="98" eb="99">
      <t>サイ</t>
    </rPh>
    <phoneticPr fontId="3"/>
  </si>
  <si>
    <t>メールアドレス</t>
    <phoneticPr fontId="3"/>
  </si>
  <si>
    <t>キャリアメールは利用不可です。</t>
    <rPh sb="8" eb="10">
      <t>リヨウ</t>
    </rPh>
    <rPh sb="10" eb="12">
      <t>フカ</t>
    </rPh>
    <phoneticPr fontId="3"/>
  </si>
  <si>
    <t>当日発生の利用料金</t>
    <rPh sb="0" eb="2">
      <t>トウジツ</t>
    </rPh>
    <rPh sb="2" eb="4">
      <t>ハッセイ</t>
    </rPh>
    <rPh sb="5" eb="7">
      <t>リヨウ</t>
    </rPh>
    <rPh sb="7" eb="9">
      <t>リョウキン</t>
    </rPh>
    <phoneticPr fontId="3"/>
  </si>
  <si>
    <t>利用後、変更申請書にて現金で徴収いたします。</t>
    <phoneticPr fontId="3"/>
  </si>
  <si>
    <t>振込後の中止</t>
    <rPh sb="0" eb="2">
      <t>フリコミ</t>
    </rPh>
    <rPh sb="2" eb="3">
      <t>ゴ</t>
    </rPh>
    <rPh sb="4" eb="6">
      <t>チュウシ</t>
    </rPh>
    <phoneticPr fontId="3"/>
  </si>
  <si>
    <t>■ 多目的ホール、イベント広場</t>
    <rPh sb="2" eb="5">
      <t>タモクテキ</t>
    </rPh>
    <rPh sb="13" eb="15">
      <t>ヒロバ</t>
    </rPh>
    <phoneticPr fontId="3"/>
  </si>
  <si>
    <t>利用日の１ヶ月前までに使用中止される場合、使用料の半額を還付いたします。</t>
    <rPh sb="0" eb="2">
      <t>リヨウ</t>
    </rPh>
    <rPh sb="2" eb="3">
      <t>ビ</t>
    </rPh>
    <rPh sb="6" eb="7">
      <t>ゲツ</t>
    </rPh>
    <rPh sb="7" eb="8">
      <t>マエ</t>
    </rPh>
    <rPh sb="11" eb="13">
      <t>シヨウ</t>
    </rPh>
    <rPh sb="13" eb="15">
      <t>チュウシ</t>
    </rPh>
    <rPh sb="18" eb="20">
      <t>バアイ</t>
    </rPh>
    <rPh sb="21" eb="23">
      <t>シヨウ</t>
    </rPh>
    <rPh sb="23" eb="24">
      <t>リョウ</t>
    </rPh>
    <rPh sb="25" eb="27">
      <t>ハンガク</t>
    </rPh>
    <rPh sb="28" eb="30">
      <t>カンプ</t>
    </rPh>
    <phoneticPr fontId="3"/>
  </si>
  <si>
    <t>■ 第１会議室、第２会議室、パーティールーム</t>
    <rPh sb="2" eb="3">
      <t>ダイ</t>
    </rPh>
    <rPh sb="4" eb="7">
      <t>カイギシツ</t>
    </rPh>
    <rPh sb="8" eb="9">
      <t>ダイ</t>
    </rPh>
    <rPh sb="10" eb="13">
      <t>カイギシツ</t>
    </rPh>
    <phoneticPr fontId="3"/>
  </si>
  <si>
    <t>利用日の1週間前までに使用中止される場合、使用料の半額を還付いたします。</t>
    <rPh sb="0" eb="2">
      <t>リヨウ</t>
    </rPh>
    <rPh sb="2" eb="3">
      <t>ビ</t>
    </rPh>
    <rPh sb="5" eb="7">
      <t>シュウカン</t>
    </rPh>
    <rPh sb="7" eb="8">
      <t>マエ</t>
    </rPh>
    <rPh sb="11" eb="13">
      <t>シヨウ</t>
    </rPh>
    <rPh sb="13" eb="15">
      <t>チュウシ</t>
    </rPh>
    <rPh sb="18" eb="20">
      <t>バアイ</t>
    </rPh>
    <rPh sb="21" eb="23">
      <t>シヨウ</t>
    </rPh>
    <rPh sb="23" eb="24">
      <t>リョウ</t>
    </rPh>
    <rPh sb="25" eb="27">
      <t>ハンガク</t>
    </rPh>
    <rPh sb="28" eb="30">
      <t>カンプ</t>
    </rPh>
    <phoneticPr fontId="3"/>
  </si>
  <si>
    <t>● 中止の際は、「中止届」「還付申請書」の提出が必要となりますので、まずは電話にて中止の旨をご連絡ください。</t>
    <rPh sb="2" eb="4">
      <t>チュウシ</t>
    </rPh>
    <rPh sb="5" eb="6">
      <t>サイ</t>
    </rPh>
    <rPh sb="9" eb="11">
      <t>チュウシ</t>
    </rPh>
    <rPh sb="11" eb="12">
      <t>トドケ</t>
    </rPh>
    <rPh sb="14" eb="16">
      <t>カンプ</t>
    </rPh>
    <rPh sb="16" eb="19">
      <t>シンセイショ</t>
    </rPh>
    <rPh sb="21" eb="23">
      <t>テイシュツ</t>
    </rPh>
    <rPh sb="24" eb="26">
      <t>ヒツヨウ</t>
    </rPh>
    <rPh sb="37" eb="39">
      <t>デンワ</t>
    </rPh>
    <rPh sb="41" eb="43">
      <t>チュウシ</t>
    </rPh>
    <rPh sb="44" eb="45">
      <t>ムネ</t>
    </rPh>
    <rPh sb="47" eb="49">
      <t>レンラク</t>
    </rPh>
    <phoneticPr fontId="3"/>
  </si>
  <si>
    <t>● 還付金振込時の、振込手数料は差引かせていただきます。</t>
    <rPh sb="2" eb="5">
      <t>カンプキン</t>
    </rPh>
    <rPh sb="5" eb="8">
      <t>フリコミジ</t>
    </rPh>
    <rPh sb="10" eb="12">
      <t>フリコミ</t>
    </rPh>
    <rPh sb="12" eb="15">
      <t>テスウリョウ</t>
    </rPh>
    <rPh sb="16" eb="18">
      <t>サシヒ</t>
    </rPh>
    <phoneticPr fontId="3"/>
  </si>
  <si>
    <t>振込期限を
過ぎた場合</t>
    <rPh sb="0" eb="2">
      <t>フリコミ</t>
    </rPh>
    <rPh sb="2" eb="4">
      <t>キゲン</t>
    </rPh>
    <rPh sb="6" eb="7">
      <t>ス</t>
    </rPh>
    <rPh sb="9" eb="11">
      <t>バアイ</t>
    </rPh>
    <phoneticPr fontId="3"/>
  </si>
  <si>
    <t>振込期限を過ぎますと、他お客様の申込みを受付けますのでご了承ください。</t>
    <rPh sb="0" eb="2">
      <t>フリコミ</t>
    </rPh>
    <rPh sb="2" eb="4">
      <t>キゲン</t>
    </rPh>
    <rPh sb="5" eb="6">
      <t>ス</t>
    </rPh>
    <rPh sb="11" eb="12">
      <t>ホカ</t>
    </rPh>
    <rPh sb="13" eb="15">
      <t>キャクサマ</t>
    </rPh>
    <rPh sb="16" eb="18">
      <t>モウシコミ</t>
    </rPh>
    <rPh sb="20" eb="22">
      <t>ウケツ</t>
    </rPh>
    <rPh sb="28" eb="30">
      <t>リョウショウ</t>
    </rPh>
    <phoneticPr fontId="3"/>
  </si>
  <si>
    <t>振込前の中止</t>
    <rPh sb="0" eb="2">
      <t>フリコミ</t>
    </rPh>
    <rPh sb="2" eb="3">
      <t>マエ</t>
    </rPh>
    <rPh sb="4" eb="6">
      <t>チュウシ</t>
    </rPh>
    <phoneticPr fontId="3"/>
  </si>
  <si>
    <t>振込前の中止についても、必ず電話にてご連絡ください。</t>
    <rPh sb="0" eb="2">
      <t>フリコミ</t>
    </rPh>
    <rPh sb="2" eb="3">
      <t>マエ</t>
    </rPh>
    <rPh sb="4" eb="6">
      <t>チュウシ</t>
    </rPh>
    <rPh sb="12" eb="13">
      <t>カナラ</t>
    </rPh>
    <rPh sb="14" eb="16">
      <t>デンワ</t>
    </rPh>
    <rPh sb="19" eb="21">
      <t>レンラク</t>
    </rPh>
    <phoneticPr fontId="3"/>
  </si>
  <si>
    <t>営業行為：</t>
    <rPh sb="0" eb="2">
      <t>エイギョウ</t>
    </rPh>
    <rPh sb="2" eb="4">
      <t>コウイ</t>
    </rPh>
    <phoneticPr fontId="3"/>
  </si>
  <si>
    <t>使用時間区分の料金が２倍となります。</t>
    <rPh sb="0" eb="2">
      <t>シヨウ</t>
    </rPh>
    <rPh sb="2" eb="4">
      <t>ジカン</t>
    </rPh>
    <rPh sb="4" eb="6">
      <t>クブン</t>
    </rPh>
    <rPh sb="7" eb="9">
      <t>リョウキン</t>
    </rPh>
    <rPh sb="11" eb="12">
      <t>バイ</t>
    </rPh>
    <phoneticPr fontId="3"/>
  </si>
  <si>
    <t>申請者情報</t>
    <rPh sb="0" eb="3">
      <t>シンセイシャ</t>
    </rPh>
    <rPh sb="3" eb="5">
      <t>ジョウホウ</t>
    </rPh>
    <phoneticPr fontId="3"/>
  </si>
  <si>
    <t>申請日</t>
    <rPh sb="0" eb="3">
      <t>シンセイビ</t>
    </rPh>
    <phoneticPr fontId="2"/>
  </si>
  <si>
    <t>団体名</t>
    <rPh sb="0" eb="2">
      <t>ダンタイ</t>
    </rPh>
    <rPh sb="2" eb="3">
      <t>メイ</t>
    </rPh>
    <phoneticPr fontId="3"/>
  </si>
  <si>
    <t>■■■■株式会社</t>
    <rPh sb="4" eb="8">
      <t>カブシキガイシャ</t>
    </rPh>
    <phoneticPr fontId="3"/>
  </si>
  <si>
    <t>郵便番号</t>
    <rPh sb="0" eb="4">
      <t>ユウビンバンゴウ</t>
    </rPh>
    <phoneticPr fontId="2"/>
  </si>
  <si>
    <t>〒111-2222</t>
    <phoneticPr fontId="2"/>
  </si>
  <si>
    <t>住所</t>
    <rPh sb="0" eb="2">
      <t>ジュウショ</t>
    </rPh>
    <phoneticPr fontId="3"/>
  </si>
  <si>
    <t>○○市○○区○○町111-11</t>
    <rPh sb="2" eb="3">
      <t>シ</t>
    </rPh>
    <rPh sb="5" eb="6">
      <t>ク</t>
    </rPh>
    <rPh sb="8" eb="9">
      <t>マチ</t>
    </rPh>
    <phoneticPr fontId="3"/>
  </si>
  <si>
    <t>代表者</t>
    <rPh sb="0" eb="3">
      <t>ダイヒョウシャ</t>
    </rPh>
    <phoneticPr fontId="3"/>
  </si>
  <si>
    <t>△△　△△</t>
    <phoneticPr fontId="3"/>
  </si>
  <si>
    <t>連絡責任者</t>
    <rPh sb="0" eb="2">
      <t>レンラク</t>
    </rPh>
    <rPh sb="2" eb="5">
      <t>セキニンシャ</t>
    </rPh>
    <phoneticPr fontId="3"/>
  </si>
  <si>
    <t>▲▲　▲▲</t>
    <phoneticPr fontId="3"/>
  </si>
  <si>
    <t>連絡先</t>
    <rPh sb="0" eb="3">
      <t>レンラクサキ</t>
    </rPh>
    <phoneticPr fontId="3"/>
  </si>
  <si>
    <t>096-123-1234</t>
    <phoneticPr fontId="3"/>
  </si>
  <si>
    <t>催事の内容</t>
    <rPh sb="0" eb="2">
      <t>サイジ</t>
    </rPh>
    <rPh sb="3" eb="5">
      <t>ナイヨウ</t>
    </rPh>
    <phoneticPr fontId="2"/>
  </si>
  <si>
    <t>行事名</t>
    <rPh sb="0" eb="2">
      <t>ギョウジ</t>
    </rPh>
    <rPh sb="2" eb="3">
      <t>メイ</t>
    </rPh>
    <phoneticPr fontId="3"/>
  </si>
  <si>
    <t>●●イベント</t>
    <phoneticPr fontId="3"/>
  </si>
  <si>
    <t>行事内容</t>
    <rPh sb="0" eb="4">
      <t>ギョウジナイヨウ</t>
    </rPh>
    <phoneticPr fontId="3"/>
  </si>
  <si>
    <t>●●向けのイベントを開催する</t>
    <rPh sb="2" eb="3">
      <t>ム</t>
    </rPh>
    <rPh sb="10" eb="12">
      <t>カイサイ</t>
    </rPh>
    <phoneticPr fontId="3"/>
  </si>
  <si>
    <t>時から</t>
    <rPh sb="0" eb="1">
      <t>ジ</t>
    </rPh>
    <phoneticPr fontId="2"/>
  </si>
  <si>
    <t>時まで</t>
    <rPh sb="0" eb="1">
      <t>ジ</t>
    </rPh>
    <phoneticPr fontId="2"/>
  </si>
  <si>
    <t>日間</t>
    <rPh sb="0" eb="2">
      <t>ニチカン</t>
    </rPh>
    <phoneticPr fontId="2"/>
  </si>
  <si>
    <t>※ 営業行為：</t>
    <rPh sb="2" eb="4">
      <t>エイギョウ</t>
    </rPh>
    <rPh sb="4" eb="6">
      <t>コウイ</t>
    </rPh>
    <phoneticPr fontId="3"/>
  </si>
  <si>
    <t>参加者より入場料やその他に類するものを徴収する場合</t>
    <phoneticPr fontId="3"/>
  </si>
  <si>
    <t>①</t>
    <phoneticPr fontId="2"/>
  </si>
  <si>
    <t>＜参考＞</t>
    <rPh sb="1" eb="3">
      <t>サンコウ</t>
    </rPh>
    <phoneticPr fontId="2"/>
  </si>
  <si>
    <t>＜職員入力欄＞</t>
    <rPh sb="1" eb="3">
      <t>ショクイン</t>
    </rPh>
    <rPh sb="3" eb="5">
      <t>ニュウリョク</t>
    </rPh>
    <rPh sb="5" eb="6">
      <t>ラン</t>
    </rPh>
    <phoneticPr fontId="2"/>
  </si>
  <si>
    <t>営利目的の場合</t>
    <rPh sb="0" eb="2">
      <t>エイリ</t>
    </rPh>
    <rPh sb="2" eb="4">
      <t>モクテキ</t>
    </rPh>
    <rPh sb="5" eb="7">
      <t>バアイ</t>
    </rPh>
    <phoneticPr fontId="2"/>
  </si>
  <si>
    <t>２．使用時間</t>
    <rPh sb="2" eb="4">
      <t>シヨウ</t>
    </rPh>
    <rPh sb="4" eb="6">
      <t>ジカン</t>
    </rPh>
    <phoneticPr fontId="2"/>
  </si>
  <si>
    <t>【会場使用料】</t>
    <rPh sb="1" eb="3">
      <t>カイジョウ</t>
    </rPh>
    <rPh sb="3" eb="6">
      <t>シヨウリョウ</t>
    </rPh>
    <phoneticPr fontId="2"/>
  </si>
  <si>
    <t>３．営業行為</t>
    <rPh sb="2" eb="6">
      <t>エイギョウコウイ</t>
    </rPh>
    <phoneticPr fontId="3"/>
  </si>
  <si>
    <t>営業行為がある場合、営業行為を行う時間帯に「〇」を入力</t>
    <rPh sb="0" eb="4">
      <t>エイギョウコウイ</t>
    </rPh>
    <rPh sb="7" eb="9">
      <t>バアイ</t>
    </rPh>
    <rPh sb="10" eb="14">
      <t>エイギョウコウイ</t>
    </rPh>
    <rPh sb="15" eb="16">
      <t>オコナ</t>
    </rPh>
    <rPh sb="17" eb="20">
      <t>ジカンタイ</t>
    </rPh>
    <rPh sb="25" eb="27">
      <t>ニュウリョク</t>
    </rPh>
    <phoneticPr fontId="2"/>
  </si>
  <si>
    <t>パーティーA</t>
    <phoneticPr fontId="2"/>
  </si>
  <si>
    <t>午前</t>
    <rPh sb="0" eb="2">
      <t>ゴゼン</t>
    </rPh>
    <phoneticPr fontId="2"/>
  </si>
  <si>
    <t>午後</t>
    <rPh sb="0" eb="2">
      <t>ゴゴ</t>
    </rPh>
    <phoneticPr fontId="2"/>
  </si>
  <si>
    <t>夜間</t>
    <rPh sb="0" eb="2">
      <t>ヤカン</t>
    </rPh>
    <phoneticPr fontId="2"/>
  </si>
  <si>
    <t>その他備品</t>
    <rPh sb="2" eb="3">
      <t>タ</t>
    </rPh>
    <rPh sb="3" eb="5">
      <t>ビヒン</t>
    </rPh>
    <phoneticPr fontId="2"/>
  </si>
  <si>
    <t>計</t>
    <rPh sb="0" eb="1">
      <t>ケイ</t>
    </rPh>
    <phoneticPr fontId="2"/>
  </si>
  <si>
    <t>４．使用備品</t>
    <rPh sb="2" eb="6">
      <t>シヨウビヒン</t>
    </rPh>
    <phoneticPr fontId="2"/>
  </si>
  <si>
    <t>以下の表から使用する備品に数量を入力してください。</t>
    <rPh sb="0" eb="2">
      <t>イカ</t>
    </rPh>
    <rPh sb="3" eb="4">
      <t>ヒョウ</t>
    </rPh>
    <rPh sb="6" eb="8">
      <t>シヨウ</t>
    </rPh>
    <rPh sb="10" eb="12">
      <t>ビヒン</t>
    </rPh>
    <rPh sb="13" eb="15">
      <t>スウリョウ</t>
    </rPh>
    <rPh sb="16" eb="18">
      <t>ニュウリョク</t>
    </rPh>
    <phoneticPr fontId="2"/>
  </si>
  <si>
    <t>品名</t>
    <rPh sb="0" eb="2">
      <t>ヒンメイ</t>
    </rPh>
    <phoneticPr fontId="3"/>
  </si>
  <si>
    <t>単位</t>
    <rPh sb="0" eb="2">
      <t>タンイ</t>
    </rPh>
    <phoneticPr fontId="3"/>
  </si>
  <si>
    <t>個数</t>
    <rPh sb="0" eb="2">
      <t>コスウ</t>
    </rPh>
    <phoneticPr fontId="3"/>
  </si>
  <si>
    <t>CDプレーヤー</t>
    <phoneticPr fontId="2"/>
  </si>
  <si>
    <t>1台</t>
    <rPh sb="1" eb="2">
      <t>ダイ</t>
    </rPh>
    <phoneticPr fontId="2"/>
  </si>
  <si>
    <t>１脚</t>
    <rPh sb="1" eb="2">
      <t>キャク</t>
    </rPh>
    <phoneticPr fontId="1"/>
  </si>
  <si>
    <t>有線マイク</t>
    <rPh sb="0" eb="2">
      <t>ユウセン</t>
    </rPh>
    <phoneticPr fontId="2"/>
  </si>
  <si>
    <t>1本</t>
    <rPh sb="1" eb="2">
      <t>ポン</t>
    </rPh>
    <phoneticPr fontId="2"/>
  </si>
  <si>
    <t>１台</t>
    <rPh sb="1" eb="2">
      <t>ダイ</t>
    </rPh>
    <phoneticPr fontId="1"/>
  </si>
  <si>
    <t>ワイヤレスマイク
（ハンド ・ ピン）</t>
    <phoneticPr fontId="2"/>
  </si>
  <si>
    <t>展示パネル</t>
  </si>
  <si>
    <t>１枚</t>
    <rPh sb="1" eb="2">
      <t>マイ</t>
    </rPh>
    <phoneticPr fontId="1"/>
  </si>
  <si>
    <t>ワイヤレスマイク
送受信機</t>
    <rPh sb="9" eb="12">
      <t>ソウジュシン</t>
    </rPh>
    <rPh sb="12" eb="13">
      <t>キ</t>
    </rPh>
    <phoneticPr fontId="2"/>
  </si>
  <si>
    <t>スクリーン（移動式）</t>
  </si>
  <si>
    <t>拡声装置</t>
    <rPh sb="0" eb="2">
      <t>カクセイ</t>
    </rPh>
    <rPh sb="2" eb="4">
      <t>ソウチ</t>
    </rPh>
    <phoneticPr fontId="2"/>
  </si>
  <si>
    <t>デジタルプロジェクター</t>
  </si>
  <si>
    <t>40型液晶テレビ（DVD/CD）</t>
  </si>
  <si>
    <t>１本</t>
    <rPh sb="1" eb="2">
      <t>ポン</t>
    </rPh>
    <phoneticPr fontId="1"/>
  </si>
  <si>
    <t>持込器具（コンセント利用料）</t>
  </si>
  <si>
    <t>１ｋW</t>
  </si>
  <si>
    <t>ホワイトボード</t>
  </si>
  <si>
    <t>１台</t>
    <rPh sb="1" eb="2">
      <t>ダイ</t>
    </rPh>
    <phoneticPr fontId="2"/>
  </si>
  <si>
    <t>②</t>
    <phoneticPr fontId="2"/>
  </si>
  <si>
    <t>③</t>
    <phoneticPr fontId="2"/>
  </si>
  <si>
    <t>④</t>
    <phoneticPr fontId="2"/>
  </si>
  <si>
    <t>⑤</t>
    <phoneticPr fontId="2"/>
  </si>
  <si>
    <t>請求書</t>
    <phoneticPr fontId="13"/>
  </si>
  <si>
    <t>御中</t>
    <rPh sb="0" eb="2">
      <t>オンチュウ</t>
    </rPh>
    <phoneticPr fontId="13"/>
  </si>
  <si>
    <t>振込金額</t>
    <phoneticPr fontId="13"/>
  </si>
  <si>
    <t>税込</t>
    <phoneticPr fontId="13"/>
  </si>
  <si>
    <t>振込期限</t>
    <phoneticPr fontId="13"/>
  </si>
  <si>
    <t>利用日</t>
    <rPh sb="0" eb="2">
      <t>リヨウ</t>
    </rPh>
    <rPh sb="2" eb="3">
      <t>ビ</t>
    </rPh>
    <phoneticPr fontId="13"/>
  </si>
  <si>
    <t>から</t>
    <phoneticPr fontId="2"/>
  </si>
  <si>
    <t>まで</t>
    <phoneticPr fontId="2"/>
  </si>
  <si>
    <t>行事名</t>
    <rPh sb="0" eb="2">
      <t>ギョウジ</t>
    </rPh>
    <rPh sb="2" eb="3">
      <t>メイ</t>
    </rPh>
    <phoneticPr fontId="13"/>
  </si>
  <si>
    <t>Ｎｏ</t>
    <phoneticPr fontId="13"/>
  </si>
  <si>
    <t>項目名</t>
    <rPh sb="0" eb="2">
      <t>コウモク</t>
    </rPh>
    <rPh sb="2" eb="3">
      <t>メイ</t>
    </rPh>
    <phoneticPr fontId="13"/>
  </si>
  <si>
    <t>時間帯</t>
    <rPh sb="0" eb="3">
      <t>ジカンタイ</t>
    </rPh>
    <phoneticPr fontId="13"/>
  </si>
  <si>
    <t>数量</t>
    <rPh sb="0" eb="2">
      <t>スウリョウ</t>
    </rPh>
    <phoneticPr fontId="13"/>
  </si>
  <si>
    <t>単価</t>
    <rPh sb="0" eb="2">
      <t>タンカ</t>
    </rPh>
    <phoneticPr fontId="13"/>
  </si>
  <si>
    <t>金額</t>
    <rPh sb="0" eb="2">
      <t>キンガク</t>
    </rPh>
    <phoneticPr fontId="13"/>
  </si>
  <si>
    <t>別紙明細のとおり</t>
    <rPh sb="0" eb="4">
      <t>ベッシメイサイ</t>
    </rPh>
    <phoneticPr fontId="2"/>
  </si>
  <si>
    <t>【振込口座】</t>
    <phoneticPr fontId="13"/>
  </si>
  <si>
    <t>合　　　計</t>
    <rPh sb="0" eb="1">
      <t>ゴウ</t>
    </rPh>
    <rPh sb="4" eb="5">
      <t>ケイ</t>
    </rPh>
    <phoneticPr fontId="13"/>
  </si>
  <si>
    <t>内 消 費 税</t>
    <rPh sb="0" eb="1">
      <t>ウチ</t>
    </rPh>
    <rPh sb="2" eb="3">
      <t>ショウ</t>
    </rPh>
    <rPh sb="4" eb="5">
      <t>ヒ</t>
    </rPh>
    <rPh sb="6" eb="7">
      <t>ゼイ</t>
    </rPh>
    <phoneticPr fontId="13"/>
  </si>
  <si>
    <t>振込手数料はお客様負担となります。</t>
    <phoneticPr fontId="13"/>
  </si>
  <si>
    <t>【備　考】</t>
    <rPh sb="1" eb="2">
      <t>ビ</t>
    </rPh>
    <rPh sb="3" eb="4">
      <t>コウ</t>
    </rPh>
    <phoneticPr fontId="13"/>
  </si>
  <si>
    <t>・</t>
    <phoneticPr fontId="13"/>
  </si>
  <si>
    <t>（サンプル）付属設備の追加は別料金となります。</t>
  </si>
  <si>
    <t>（サンプル）記載以外の付属設備追加は別料金となります。</t>
  </si>
  <si>
    <t>音響機器使用時は、別途「拡声装置」利用料が必要となります。</t>
    <rPh sb="0" eb="2">
      <t>オンキョウ</t>
    </rPh>
    <rPh sb="2" eb="4">
      <t>キキ</t>
    </rPh>
    <rPh sb="4" eb="7">
      <t>シヨウジ</t>
    </rPh>
    <rPh sb="9" eb="11">
      <t>ベット</t>
    </rPh>
    <rPh sb="12" eb="16">
      <t>カクセイソウチ</t>
    </rPh>
    <rPh sb="17" eb="20">
      <t>リヨウリョウ</t>
    </rPh>
    <rPh sb="21" eb="23">
      <t>ヒツヨウ</t>
    </rPh>
    <phoneticPr fontId="13"/>
  </si>
  <si>
    <t>ワイヤレスマイク使用時は、別途「ワイヤレス送受信機」利用料が必要となります。</t>
    <rPh sb="8" eb="11">
      <t>シヨウジ</t>
    </rPh>
    <rPh sb="13" eb="15">
      <t>ベット</t>
    </rPh>
    <rPh sb="21" eb="25">
      <t>ソウジュシンキ</t>
    </rPh>
    <rPh sb="26" eb="29">
      <t>リヨウリョウ</t>
    </rPh>
    <rPh sb="30" eb="32">
      <t>ヒツヨウ</t>
    </rPh>
    <phoneticPr fontId="13"/>
  </si>
  <si>
    <t>【使用明細】</t>
  </si>
  <si>
    <t>利用日</t>
    <rPh sb="0" eb="3">
      <t>リヨウビ</t>
    </rPh>
    <phoneticPr fontId="2"/>
  </si>
  <si>
    <t>利用時間</t>
    <rPh sb="0" eb="4">
      <t>リヨウジカン</t>
    </rPh>
    <phoneticPr fontId="2"/>
  </si>
  <si>
    <t>会場使用料</t>
    <rPh sb="0" eb="2">
      <t>カイジョウ</t>
    </rPh>
    <rPh sb="2" eb="5">
      <t>シヨウリョウ</t>
    </rPh>
    <phoneticPr fontId="2"/>
  </si>
  <si>
    <t>円</t>
    <rPh sb="0" eb="1">
      <t>エン</t>
    </rPh>
    <phoneticPr fontId="2"/>
  </si>
  <si>
    <t>小計</t>
    <rPh sb="0" eb="2">
      <t>ショウケイ</t>
    </rPh>
    <phoneticPr fontId="2"/>
  </si>
  <si>
    <t>附属設備</t>
    <rPh sb="0" eb="4">
      <t>フゾクセツビ</t>
    </rPh>
    <phoneticPr fontId="2"/>
  </si>
  <si>
    <t>単価</t>
    <rPh sb="0" eb="2">
      <t>タンカ</t>
    </rPh>
    <phoneticPr fontId="2"/>
  </si>
  <si>
    <t>個数</t>
    <rPh sb="0" eb="2">
      <t>コスウ</t>
    </rPh>
    <phoneticPr fontId="2"/>
  </si>
  <si>
    <t>単位</t>
    <rPh sb="0" eb="2">
      <t>タンイ</t>
    </rPh>
    <phoneticPr fontId="2"/>
  </si>
  <si>
    <t>金額</t>
    <rPh sb="0" eb="2">
      <t>キンガク</t>
    </rPh>
    <phoneticPr fontId="2"/>
  </si>
  <si>
    <t>椅子</t>
    <rPh sb="0" eb="2">
      <t>イス</t>
    </rPh>
    <phoneticPr fontId="1"/>
  </si>
  <si>
    <t>長机</t>
    <rPh sb="0" eb="1">
      <t>ナガ</t>
    </rPh>
    <rPh sb="1" eb="2">
      <t>ヅクエ</t>
    </rPh>
    <phoneticPr fontId="1"/>
  </si>
  <si>
    <t>展示パネル</t>
    <rPh sb="0" eb="2">
      <t>テンジ</t>
    </rPh>
    <phoneticPr fontId="1"/>
  </si>
  <si>
    <t>スクリーン（移動式）</t>
    <rPh sb="6" eb="9">
      <t>イドウシキ</t>
    </rPh>
    <phoneticPr fontId="1"/>
  </si>
  <si>
    <t>40型液晶テレビ（DVD/CD）</t>
    <rPh sb="2" eb="3">
      <t>ガタ</t>
    </rPh>
    <rPh sb="3" eb="5">
      <t>エキショウ</t>
    </rPh>
    <phoneticPr fontId="1"/>
  </si>
  <si>
    <t>持込器具（コンセント利用料）</t>
    <rPh sb="0" eb="2">
      <t>モチコミ</t>
    </rPh>
    <rPh sb="2" eb="4">
      <t>キグ</t>
    </rPh>
    <rPh sb="10" eb="13">
      <t>リヨウリョウ</t>
    </rPh>
    <phoneticPr fontId="1"/>
  </si>
  <si>
    <t>合計</t>
    <rPh sb="0" eb="2">
      <t>ゴウケイ</t>
    </rPh>
    <phoneticPr fontId="2"/>
  </si>
  <si>
    <t>様式第2号（第2条第1項関係）</t>
    <rPh sb="0" eb="2">
      <t>ヨウシキ</t>
    </rPh>
    <rPh sb="2" eb="3">
      <t>ダイ</t>
    </rPh>
    <rPh sb="4" eb="5">
      <t>ゴウ</t>
    </rPh>
    <rPh sb="6" eb="7">
      <t>ダイ</t>
    </rPh>
    <rPh sb="8" eb="9">
      <t>ジョウ</t>
    </rPh>
    <rPh sb="9" eb="10">
      <t>ダイ</t>
    </rPh>
    <rPh sb="11" eb="12">
      <t>コウ</t>
    </rPh>
    <rPh sb="12" eb="14">
      <t>カンケイ</t>
    </rPh>
    <phoneticPr fontId="2"/>
  </si>
  <si>
    <t>熊本市食品交流会館使用許可申請書
（会議室等用）</t>
    <rPh sb="0" eb="3">
      <t>クマモトシ</t>
    </rPh>
    <rPh sb="3" eb="5">
      <t>ショクヒン</t>
    </rPh>
    <rPh sb="5" eb="9">
      <t>コウリュウカイカン</t>
    </rPh>
    <rPh sb="9" eb="11">
      <t>シヨウ</t>
    </rPh>
    <rPh sb="11" eb="13">
      <t>キョカ</t>
    </rPh>
    <rPh sb="13" eb="16">
      <t>シンセイショ</t>
    </rPh>
    <rPh sb="18" eb="21">
      <t>カイギシツ</t>
    </rPh>
    <rPh sb="21" eb="22">
      <t>トウ</t>
    </rPh>
    <rPh sb="22" eb="23">
      <t>ヨウ</t>
    </rPh>
    <phoneticPr fontId="2"/>
  </si>
  <si>
    <t>熊本市長　（宛）</t>
    <rPh sb="0" eb="4">
      <t>クマモトシチョウ</t>
    </rPh>
    <rPh sb="6" eb="7">
      <t>ア</t>
    </rPh>
    <phoneticPr fontId="2"/>
  </si>
  <si>
    <t>住所(所在地)</t>
    <rPh sb="0" eb="2">
      <t>ジュウショ</t>
    </rPh>
    <rPh sb="3" eb="6">
      <t>ショザイチ</t>
    </rPh>
    <phoneticPr fontId="2"/>
  </si>
  <si>
    <t>団体名</t>
    <rPh sb="0" eb="3">
      <t>ダンタイメイ</t>
    </rPh>
    <phoneticPr fontId="2"/>
  </si>
  <si>
    <t>氏名(代表者)</t>
    <rPh sb="0" eb="2">
      <t>シメイ</t>
    </rPh>
    <rPh sb="3" eb="6">
      <t>ダイヒョウシャ</t>
    </rPh>
    <phoneticPr fontId="2"/>
  </si>
  <si>
    <t>連絡責任者</t>
    <rPh sb="0" eb="2">
      <t>レンラク</t>
    </rPh>
    <rPh sb="2" eb="5">
      <t>セキニンシャ</t>
    </rPh>
    <phoneticPr fontId="2"/>
  </si>
  <si>
    <t>電話番号</t>
    <rPh sb="0" eb="2">
      <t>デンワ</t>
    </rPh>
    <rPh sb="2" eb="4">
      <t>バンゴウ</t>
    </rPh>
    <phoneticPr fontId="2"/>
  </si>
  <si>
    <t>　●年●月●日付けで申請のあった熊本市食品交流会館の使用については、次のとおり
許可します。使用に際しましては、関係条例、規則及びこれらに基づく指示に従ってください。</t>
    <rPh sb="2" eb="3">
      <t>ネン</t>
    </rPh>
    <rPh sb="4" eb="5">
      <t>ガツ</t>
    </rPh>
    <rPh sb="6" eb="8">
      <t>ニチヅ</t>
    </rPh>
    <rPh sb="10" eb="12">
      <t>シンセイ</t>
    </rPh>
    <rPh sb="16" eb="19">
      <t>クマモトシ</t>
    </rPh>
    <rPh sb="19" eb="21">
      <t>ショクヒン</t>
    </rPh>
    <rPh sb="21" eb="23">
      <t>コウリュウ</t>
    </rPh>
    <rPh sb="23" eb="25">
      <t>カイカン</t>
    </rPh>
    <rPh sb="26" eb="28">
      <t>シヨウ</t>
    </rPh>
    <rPh sb="34" eb="35">
      <t>ツギ</t>
    </rPh>
    <rPh sb="40" eb="42">
      <t>キョカ</t>
    </rPh>
    <rPh sb="46" eb="48">
      <t>シヨウ</t>
    </rPh>
    <rPh sb="49" eb="50">
      <t>サイ</t>
    </rPh>
    <rPh sb="56" eb="58">
      <t>カンケイ</t>
    </rPh>
    <rPh sb="58" eb="60">
      <t>ジョウレイ</t>
    </rPh>
    <rPh sb="61" eb="63">
      <t>キソク</t>
    </rPh>
    <rPh sb="63" eb="64">
      <t>オヨ</t>
    </rPh>
    <rPh sb="69" eb="70">
      <t>モト</t>
    </rPh>
    <rPh sb="72" eb="74">
      <t>シジ</t>
    </rPh>
    <rPh sb="75" eb="76">
      <t>シタガ</t>
    </rPh>
    <phoneticPr fontId="2"/>
  </si>
  <si>
    <t>行事等の
名　　称</t>
    <rPh sb="0" eb="2">
      <t>ギョウジ</t>
    </rPh>
    <rPh sb="2" eb="3">
      <t>トウ</t>
    </rPh>
    <rPh sb="5" eb="6">
      <t>メイ</t>
    </rPh>
    <rPh sb="8" eb="9">
      <t>ショウ</t>
    </rPh>
    <phoneticPr fontId="2"/>
  </si>
  <si>
    <t>行事等の
内　　容</t>
    <rPh sb="0" eb="3">
      <t>ギョウジトウ</t>
    </rPh>
    <rPh sb="5" eb="6">
      <t>ナイ</t>
    </rPh>
    <rPh sb="8" eb="9">
      <t>カタチ</t>
    </rPh>
    <phoneticPr fontId="2"/>
  </si>
  <si>
    <t>使用施設</t>
    <rPh sb="0" eb="4">
      <t>シヨウシセツ</t>
    </rPh>
    <phoneticPr fontId="2"/>
  </si>
  <si>
    <t>使　　用　　日　　時</t>
    <rPh sb="0" eb="1">
      <t>シ</t>
    </rPh>
    <rPh sb="3" eb="4">
      <t>ヨウ</t>
    </rPh>
    <rPh sb="6" eb="7">
      <t>ニチ</t>
    </rPh>
    <rPh sb="9" eb="10">
      <t>ジ</t>
    </rPh>
    <phoneticPr fontId="2"/>
  </si>
  <si>
    <t>使　　用　　料</t>
    <rPh sb="0" eb="1">
      <t>シ</t>
    </rPh>
    <rPh sb="3" eb="4">
      <t>ヨウ</t>
    </rPh>
    <rPh sb="6" eb="7">
      <t>リョウ</t>
    </rPh>
    <phoneticPr fontId="2"/>
  </si>
  <si>
    <t>パーティールームA</t>
    <phoneticPr fontId="2"/>
  </si>
  <si>
    <t>集合予定
人　　数</t>
    <rPh sb="0" eb="4">
      <t>シュウゴウヨテイ</t>
    </rPh>
    <rPh sb="5" eb="6">
      <t>ニン</t>
    </rPh>
    <rPh sb="8" eb="9">
      <t>スウ</t>
    </rPh>
    <phoneticPr fontId="2"/>
  </si>
  <si>
    <t>人</t>
    <rPh sb="0" eb="1">
      <t>ニン</t>
    </rPh>
    <phoneticPr fontId="2"/>
  </si>
  <si>
    <t>使用する</t>
    <rPh sb="0" eb="2">
      <t>シヨウ</t>
    </rPh>
    <phoneticPr fontId="2"/>
  </si>
  <si>
    <t>使用しない</t>
    <rPh sb="0" eb="2">
      <t>シヨウ</t>
    </rPh>
    <phoneticPr fontId="2"/>
  </si>
  <si>
    <t>附属設備
使 用 料</t>
    <rPh sb="0" eb="2">
      <t>フゾク</t>
    </rPh>
    <rPh sb="2" eb="4">
      <t>セツビ</t>
    </rPh>
    <rPh sb="5" eb="6">
      <t>シ</t>
    </rPh>
    <rPh sb="7" eb="8">
      <t>ヨウ</t>
    </rPh>
    <rPh sb="9" eb="10">
      <t>リョウ</t>
    </rPh>
    <phoneticPr fontId="2"/>
  </si>
  <si>
    <t>超過料</t>
    <rPh sb="0" eb="3">
      <t>チョウカリョウ</t>
    </rPh>
    <phoneticPr fontId="2"/>
  </si>
  <si>
    <t>使用料
合　計</t>
    <rPh sb="0" eb="3">
      <t>シヨウリョウ</t>
    </rPh>
    <rPh sb="4" eb="5">
      <t>ゴウ</t>
    </rPh>
    <rPh sb="6" eb="7">
      <t>ケイ</t>
    </rPh>
    <phoneticPr fontId="2"/>
  </si>
  <si>
    <t>備　　考</t>
    <rPh sb="0" eb="1">
      <t>ビ</t>
    </rPh>
    <rPh sb="3" eb="4">
      <t>コウ</t>
    </rPh>
    <phoneticPr fontId="2"/>
  </si>
  <si>
    <t>※太枠内は記載しないでください。</t>
    <rPh sb="1" eb="3">
      <t>フトワク</t>
    </rPh>
    <rPh sb="3" eb="4">
      <t>ナイ</t>
    </rPh>
    <rPh sb="5" eb="7">
      <t>キサイ</t>
    </rPh>
    <phoneticPr fontId="2"/>
  </si>
  <si>
    <t>様式第4号（第2条第3項関係）</t>
    <rPh sb="0" eb="2">
      <t>ヨウシキ</t>
    </rPh>
    <rPh sb="2" eb="3">
      <t>ダイ</t>
    </rPh>
    <rPh sb="4" eb="5">
      <t>ゴウ</t>
    </rPh>
    <rPh sb="6" eb="7">
      <t>ダイ</t>
    </rPh>
    <rPh sb="8" eb="9">
      <t>ジョウ</t>
    </rPh>
    <rPh sb="9" eb="10">
      <t>ダイ</t>
    </rPh>
    <rPh sb="11" eb="12">
      <t>コウ</t>
    </rPh>
    <rPh sb="12" eb="14">
      <t>カンケイ</t>
    </rPh>
    <phoneticPr fontId="2"/>
  </si>
  <si>
    <t>熊本市食品交流会館使用許可書
（会議室等用）</t>
    <rPh sb="0" eb="3">
      <t>クマモトシ</t>
    </rPh>
    <rPh sb="3" eb="5">
      <t>ショクヒン</t>
    </rPh>
    <rPh sb="5" eb="9">
      <t>コウリュウカイカン</t>
    </rPh>
    <rPh sb="9" eb="11">
      <t>シヨウ</t>
    </rPh>
    <rPh sb="11" eb="13">
      <t>キョカ</t>
    </rPh>
    <rPh sb="16" eb="19">
      <t>カイギシツ</t>
    </rPh>
    <rPh sb="19" eb="20">
      <t>トウ</t>
    </rPh>
    <rPh sb="20" eb="21">
      <t>ヨウ</t>
    </rPh>
    <phoneticPr fontId="2"/>
  </si>
  <si>
    <t>年　　月　　日</t>
  </si>
  <si>
    <t>熊本市長</t>
    <rPh sb="0" eb="4">
      <t>クマモトシチョウ</t>
    </rPh>
    <phoneticPr fontId="2"/>
  </si>
  <si>
    <t>　●年●月●日付けで申請のあった熊本市食品交流会館の使用については、次のとおり
許可します。使用に際しましては、関係条例、規則及びこれらに基づく指示に従ってください。</t>
    <rPh sb="2" eb="3">
      <t>ネン</t>
    </rPh>
    <rPh sb="4" eb="5">
      <t>ガツ</t>
    </rPh>
    <rPh sb="6" eb="8">
      <t>ニチヅ</t>
    </rPh>
    <rPh sb="10" eb="12">
      <t>シンセイ</t>
    </rPh>
    <rPh sb="16" eb="19">
      <t>クマモトシ</t>
    </rPh>
    <rPh sb="19" eb="21">
      <t>ショクヒン</t>
    </rPh>
    <rPh sb="21" eb="23">
      <t>コウリュウ</t>
    </rPh>
    <rPh sb="23" eb="25">
      <t>カイカン</t>
    </rPh>
    <rPh sb="26" eb="28">
      <t>シヨウ</t>
    </rPh>
    <rPh sb="34" eb="35">
      <t>ツギ</t>
    </rPh>
    <rPh sb="40" eb="42">
      <t>キョカ</t>
    </rPh>
    <rPh sb="46" eb="48">
      <t>シヨウ</t>
    </rPh>
    <rPh sb="49" eb="50">
      <t>サイ</t>
    </rPh>
    <rPh sb="56" eb="60">
      <t>カンケイジョウレイ</t>
    </rPh>
    <rPh sb="61" eb="63">
      <t>キソク</t>
    </rPh>
    <rPh sb="63" eb="64">
      <t>オヨ</t>
    </rPh>
    <rPh sb="69" eb="70">
      <t>モト</t>
    </rPh>
    <rPh sb="72" eb="74">
      <t>シジ</t>
    </rPh>
    <rPh sb="75" eb="76">
      <t>シタガ</t>
    </rPh>
    <phoneticPr fontId="2"/>
  </si>
  <si>
    <t>内訳は別紙明細書のとおり</t>
    <rPh sb="0" eb="2">
      <t>ウチワケ</t>
    </rPh>
    <rPh sb="3" eb="5">
      <t>ベッシ</t>
    </rPh>
    <rPh sb="5" eb="8">
      <t>メイサイショ</t>
    </rPh>
    <phoneticPr fontId="2"/>
  </si>
  <si>
    <t>内訳は別紙明細書のとおり</t>
    <phoneticPr fontId="2"/>
  </si>
  <si>
    <t>多目的平日</t>
    <rPh sb="0" eb="3">
      <t>タモクテキ</t>
    </rPh>
    <rPh sb="3" eb="5">
      <t>ヘイジツ</t>
    </rPh>
    <phoneticPr fontId="2"/>
  </si>
  <si>
    <t>多目的土日祝日</t>
    <rPh sb="0" eb="3">
      <t>タモクテキ</t>
    </rPh>
    <rPh sb="3" eb="5">
      <t>ドニチ</t>
    </rPh>
    <rPh sb="5" eb="7">
      <t>シュクジツ</t>
    </rPh>
    <phoneticPr fontId="2"/>
  </si>
  <si>
    <t>第１会議室（全面）</t>
    <rPh sb="0" eb="1">
      <t>ダイ</t>
    </rPh>
    <rPh sb="2" eb="5">
      <t>カイギシツ</t>
    </rPh>
    <rPh sb="6" eb="8">
      <t>ゼンメン</t>
    </rPh>
    <phoneticPr fontId="2"/>
  </si>
  <si>
    <t>第１会議室（A）</t>
    <rPh sb="0" eb="1">
      <t>ダイ</t>
    </rPh>
    <rPh sb="2" eb="5">
      <t>カイギシツ</t>
    </rPh>
    <phoneticPr fontId="2"/>
  </si>
  <si>
    <t>第１会議室（B）</t>
    <rPh sb="0" eb="1">
      <t>ダイ</t>
    </rPh>
    <rPh sb="2" eb="5">
      <t>カイギシツ</t>
    </rPh>
    <phoneticPr fontId="2"/>
  </si>
  <si>
    <t>第２会議室</t>
    <rPh sb="0" eb="1">
      <t>ダイ</t>
    </rPh>
    <rPh sb="2" eb="5">
      <t>カイギシツ</t>
    </rPh>
    <phoneticPr fontId="2"/>
  </si>
  <si>
    <t>パーティールームB</t>
    <phoneticPr fontId="2"/>
  </si>
  <si>
    <t>イベント広場</t>
    <rPh sb="4" eb="6">
      <t>ヒロバ</t>
    </rPh>
    <phoneticPr fontId="2"/>
  </si>
  <si>
    <t>付属設備</t>
    <rPh sb="0" eb="4">
      <t>フゾクセツビ</t>
    </rPh>
    <phoneticPr fontId="2"/>
  </si>
  <si>
    <t>全面</t>
    <rPh sb="0" eb="2">
      <t>ゼンメン</t>
    </rPh>
    <phoneticPr fontId="2"/>
  </si>
  <si>
    <t>利用無し</t>
    <rPh sb="0" eb="3">
      <t>リヨウナ</t>
    </rPh>
    <phoneticPr fontId="2"/>
  </si>
  <si>
    <t>【多目的ホール】</t>
    <rPh sb="1" eb="4">
      <t>タモクテキ</t>
    </rPh>
    <phoneticPr fontId="2"/>
  </si>
  <si>
    <t>A</t>
    <phoneticPr fontId="2"/>
  </si>
  <si>
    <t>なし</t>
    <phoneticPr fontId="2"/>
  </si>
  <si>
    <t>〇</t>
    <phoneticPr fontId="2"/>
  </si>
  <si>
    <t>AM 1</t>
    <phoneticPr fontId="2"/>
  </si>
  <si>
    <t>08:00～12:00</t>
    <phoneticPr fontId="2"/>
  </si>
  <si>
    <t>ポータブルステージ</t>
    <phoneticPr fontId="2"/>
  </si>
  <si>
    <t>B</t>
    <phoneticPr fontId="2"/>
  </si>
  <si>
    <t>あり</t>
    <phoneticPr fontId="2"/>
  </si>
  <si>
    <t>AM 2</t>
  </si>
  <si>
    <t>08:00～13:00</t>
    <phoneticPr fontId="2"/>
  </si>
  <si>
    <t>演台（司会台、花台付）</t>
    <rPh sb="0" eb="2">
      <t>エンダイ</t>
    </rPh>
    <rPh sb="3" eb="5">
      <t>シカイ</t>
    </rPh>
    <rPh sb="5" eb="6">
      <t>ダイ</t>
    </rPh>
    <rPh sb="7" eb="9">
      <t>カダイ</t>
    </rPh>
    <rPh sb="9" eb="10">
      <t>ツキ</t>
    </rPh>
    <phoneticPr fontId="2"/>
  </si>
  <si>
    <t>AM 3</t>
  </si>
  <si>
    <t>08:00～17:00</t>
    <phoneticPr fontId="2"/>
  </si>
  <si>
    <t>ホール用スクリーン</t>
    <rPh sb="3" eb="4">
      <t>ヨウ</t>
    </rPh>
    <phoneticPr fontId="2"/>
  </si>
  <si>
    <t>AM 4</t>
  </si>
  <si>
    <t>08:00～18:00</t>
    <phoneticPr fontId="2"/>
  </si>
  <si>
    <t>AM 5</t>
  </si>
  <si>
    <t>08:00～21:30</t>
    <phoneticPr fontId="2"/>
  </si>
  <si>
    <t>ワイヤレスマイク（ハンド・ピン）</t>
    <phoneticPr fontId="2"/>
  </si>
  <si>
    <t>AM 6</t>
  </si>
  <si>
    <t>09:00～12:00</t>
  </si>
  <si>
    <t>ワイヤレスマイク送受信機</t>
    <rPh sb="8" eb="12">
      <t>ソウジュシンキ</t>
    </rPh>
    <phoneticPr fontId="2"/>
  </si>
  <si>
    <t>AM 7</t>
  </si>
  <si>
    <t>09:00～13:00</t>
  </si>
  <si>
    <t>DVD(CD)プレーヤー</t>
    <phoneticPr fontId="2"/>
  </si>
  <si>
    <t>AM 8</t>
  </si>
  <si>
    <t>09:00～17:00</t>
  </si>
  <si>
    <t>サスペンションライト</t>
    <phoneticPr fontId="2"/>
  </si>
  <si>
    <t>AM 9</t>
  </si>
  <si>
    <t>09:00～18:00</t>
  </si>
  <si>
    <t>美術バトン</t>
    <rPh sb="0" eb="2">
      <t>ビジュツ</t>
    </rPh>
    <phoneticPr fontId="2"/>
  </si>
  <si>
    <t>AM 10</t>
  </si>
  <si>
    <t>09:00～21:30</t>
  </si>
  <si>
    <t>AM 11</t>
  </si>
  <si>
    <t>12:00～17:00</t>
    <phoneticPr fontId="2"/>
  </si>
  <si>
    <t>冷暖房</t>
    <rPh sb="0" eb="3">
      <t>レイダンボウ</t>
    </rPh>
    <phoneticPr fontId="2"/>
  </si>
  <si>
    <t>AM 12</t>
  </si>
  <si>
    <t>12:00～18:00</t>
    <phoneticPr fontId="2"/>
  </si>
  <si>
    <t>PM 1</t>
    <phoneticPr fontId="2"/>
  </si>
  <si>
    <t>12:00～21:30</t>
    <phoneticPr fontId="2"/>
  </si>
  <si>
    <t>PM 2</t>
  </si>
  <si>
    <t>13:00～17:00</t>
    <phoneticPr fontId="2"/>
  </si>
  <si>
    <t>PM 3</t>
  </si>
  <si>
    <t>13:00～18:00</t>
    <phoneticPr fontId="2"/>
  </si>
  <si>
    <t>PM 4</t>
  </si>
  <si>
    <t>13:00～21:30</t>
    <phoneticPr fontId="2"/>
  </si>
  <si>
    <t>PM 5</t>
  </si>
  <si>
    <t>17:00～21:30</t>
    <phoneticPr fontId="2"/>
  </si>
  <si>
    <t>PM 6</t>
  </si>
  <si>
    <t>18:00～21:30</t>
    <phoneticPr fontId="2"/>
  </si>
  <si>
    <t>【第１会議室】</t>
    <rPh sb="1" eb="2">
      <t>ダイ</t>
    </rPh>
    <rPh sb="3" eb="6">
      <t>カイギシツ</t>
    </rPh>
    <phoneticPr fontId="2"/>
  </si>
  <si>
    <t>PM 7</t>
  </si>
  <si>
    <t>PM 8</t>
  </si>
  <si>
    <t>カセットデッキ</t>
    <phoneticPr fontId="2"/>
  </si>
  <si>
    <t>PM 9</t>
  </si>
  <si>
    <t>PM 10</t>
  </si>
  <si>
    <t>ワイヤレスマイク（ハンド ・ ピン）</t>
    <phoneticPr fontId="2"/>
  </si>
  <si>
    <t>PM 11</t>
  </si>
  <si>
    <t>ワイヤレスマイク送受信機</t>
    <rPh sb="8" eb="11">
      <t>ソウジュシン</t>
    </rPh>
    <rPh sb="11" eb="12">
      <t>キ</t>
    </rPh>
    <phoneticPr fontId="2"/>
  </si>
  <si>
    <t>PM 12</t>
  </si>
  <si>
    <t>【パーティールームA】</t>
    <phoneticPr fontId="2"/>
  </si>
  <si>
    <t>【全施設共通】</t>
    <rPh sb="1" eb="4">
      <t>ゼンシセツ</t>
    </rPh>
    <rPh sb="4" eb="6">
      <t>キョウツウ</t>
    </rPh>
    <phoneticPr fontId="2"/>
  </si>
  <si>
    <t>椅子</t>
    <rPh sb="0" eb="2">
      <t>イス</t>
    </rPh>
    <phoneticPr fontId="2"/>
  </si>
  <si>
    <t>長机</t>
    <rPh sb="0" eb="2">
      <t>ナガツクエ</t>
    </rPh>
    <phoneticPr fontId="2"/>
  </si>
  <si>
    <t>展示パネル</t>
    <rPh sb="0" eb="2">
      <t>テンジ</t>
    </rPh>
    <phoneticPr fontId="2"/>
  </si>
  <si>
    <t>スクリーン（移動式）</t>
    <rPh sb="6" eb="9">
      <t>イドウシキ</t>
    </rPh>
    <phoneticPr fontId="2"/>
  </si>
  <si>
    <t>デジタルプロジェクター</t>
    <phoneticPr fontId="2"/>
  </si>
  <si>
    <t>40型液晶テレビ（DVD/CD）</t>
    <phoneticPr fontId="2"/>
  </si>
  <si>
    <t>持込器具（コンセント利用料）</t>
    <rPh sb="0" eb="2">
      <t>モチコミ</t>
    </rPh>
    <rPh sb="2" eb="4">
      <t>キグ</t>
    </rPh>
    <rPh sb="10" eb="13">
      <t>リヨウリョウ</t>
    </rPh>
    <phoneticPr fontId="2"/>
  </si>
  <si>
    <t>ホワイトボード</t>
    <phoneticPr fontId="2"/>
  </si>
  <si>
    <t>No</t>
    <phoneticPr fontId="2"/>
  </si>
  <si>
    <t>日</t>
    <rPh sb="0" eb="1">
      <t>ヒ</t>
    </rPh>
    <phoneticPr fontId="2"/>
  </si>
  <si>
    <t>曜日</t>
    <rPh sb="0" eb="2">
      <t>ヨウビ</t>
    </rPh>
    <phoneticPr fontId="2"/>
  </si>
  <si>
    <t>項目</t>
    <rPh sb="0" eb="2">
      <t>コウモク</t>
    </rPh>
    <phoneticPr fontId="2"/>
  </si>
  <si>
    <t>時間帯</t>
    <rPh sb="0" eb="3">
      <t>ジカンタイ</t>
    </rPh>
    <phoneticPr fontId="2"/>
  </si>
  <si>
    <t>数量</t>
    <rPh sb="0" eb="2">
      <t>スウリョウ</t>
    </rPh>
    <phoneticPr fontId="2"/>
  </si>
  <si>
    <t>１日</t>
    <rPh sb="1" eb="2">
      <t>ニチ</t>
    </rPh>
    <phoneticPr fontId="2"/>
  </si>
  <si>
    <t>１日</t>
    <phoneticPr fontId="2"/>
  </si>
  <si>
    <t>使用期間</t>
    <rPh sb="0" eb="4">
      <t>シヨウキカン</t>
    </rPh>
    <phoneticPr fontId="2"/>
  </si>
  <si>
    <t>使用人数</t>
    <rPh sb="0" eb="4">
      <t>シヨウニンズウ</t>
    </rPh>
    <phoneticPr fontId="3"/>
  </si>
  <si>
    <t>備考</t>
    <rPh sb="0" eb="2">
      <t>ビコウ</t>
    </rPh>
    <phoneticPr fontId="3"/>
  </si>
  <si>
    <t>営業行為の
有無</t>
    <rPh sb="0" eb="2">
      <t>エイギョウ</t>
    </rPh>
    <rPh sb="2" eb="4">
      <t>コウイ</t>
    </rPh>
    <rPh sb="6" eb="8">
      <t>ウム</t>
    </rPh>
    <phoneticPr fontId="3"/>
  </si>
  <si>
    <t>パーティールームA(複数日使用する場合は、１日毎に入力してください）</t>
    <rPh sb="10" eb="13">
      <t>フクスウビ</t>
    </rPh>
    <rPh sb="13" eb="15">
      <t>シヨウ</t>
    </rPh>
    <rPh sb="17" eb="19">
      <t>バアイ</t>
    </rPh>
    <rPh sb="22" eb="23">
      <t>ニチ</t>
    </rPh>
    <rPh sb="23" eb="24">
      <t>ゴト</t>
    </rPh>
    <rPh sb="25" eb="27">
      <t>ニュウリョク</t>
    </rPh>
    <phoneticPr fontId="2"/>
  </si>
  <si>
    <t>１．使用日</t>
    <rPh sb="2" eb="4">
      <t>シヨウ</t>
    </rPh>
    <rPh sb="4" eb="5">
      <t>ビ</t>
    </rPh>
    <phoneticPr fontId="2"/>
  </si>
  <si>
    <t>現在使用不可</t>
    <rPh sb="0" eb="6">
      <t>ゲンザイシヨウフカ</t>
    </rPh>
    <phoneticPr fontId="2"/>
  </si>
  <si>
    <t>※椅子(追加分のみ)</t>
    <rPh sb="4" eb="6">
      <t>ツイカ</t>
    </rPh>
    <rPh sb="6" eb="7">
      <t>ブン</t>
    </rPh>
    <phoneticPr fontId="2"/>
  </si>
  <si>
    <t>※長机(追加分のみ)</t>
    <rPh sb="4" eb="7">
      <t>ツイカブン</t>
    </rPh>
    <phoneticPr fontId="2"/>
  </si>
  <si>
    <t>※椅子：常設36脚　追加14脚まで</t>
    <rPh sb="1" eb="3">
      <t>イス</t>
    </rPh>
    <rPh sb="4" eb="6">
      <t>ジョウセツ</t>
    </rPh>
    <rPh sb="8" eb="9">
      <t>キャク</t>
    </rPh>
    <rPh sb="10" eb="12">
      <t>ツイカ</t>
    </rPh>
    <rPh sb="14" eb="15">
      <t>キャク</t>
    </rPh>
    <phoneticPr fontId="2"/>
  </si>
  <si>
    <t>※丸テーブル　常設6台</t>
    <rPh sb="1" eb="2">
      <t>マル</t>
    </rPh>
    <rPh sb="7" eb="9">
      <t>ジョウセツ</t>
    </rPh>
    <rPh sb="10" eb="11">
      <t>ダイ</t>
    </rPh>
    <phoneticPr fontId="2"/>
  </si>
  <si>
    <t>マイクスタンド(短)</t>
    <rPh sb="8" eb="9">
      <t>ミジカ</t>
    </rPh>
    <phoneticPr fontId="2"/>
  </si>
  <si>
    <t>マイクスタンド(長)</t>
    <rPh sb="8" eb="9">
      <t>チョウ</t>
    </rPh>
    <phoneticPr fontId="2"/>
  </si>
  <si>
    <t>マイクスタンド(短)</t>
    <rPh sb="8" eb="9">
      <t>ミジカ</t>
    </rPh>
    <phoneticPr fontId="2"/>
  </si>
  <si>
    <t>マイクスタンド(長)</t>
    <rPh sb="8" eb="9">
      <t>チョウ</t>
    </rPh>
    <phoneticPr fontId="2"/>
  </si>
  <si>
    <t>マイクスタンド(短)</t>
    <rPh sb="8" eb="9">
      <t>ミジカ</t>
    </rPh>
    <phoneticPr fontId="2"/>
  </si>
  <si>
    <t>マイクスタンド(長)</t>
    <rPh sb="8" eb="9">
      <t>チョウ</t>
    </rPh>
    <phoneticPr fontId="2"/>
  </si>
  <si>
    <t>1本</t>
    <rPh sb="1" eb="2">
      <t>ホン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</si>
</sst>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_ &quot;名&quot;"/>
    <numFmt numFmtId="177" formatCode="hh:mm;@"/>
    <numFmt numFmtId="178" formatCode="0_);[Red]\(0\)"/>
    <numFmt numFmtId="179" formatCode="[$]ggge&quot;年&quot;m&quot;月&quot;d&quot;日&quot;;@" x16r2:formatCode16="[$-ja-JP-x-gannen]ggge&quot;年&quot;m&quot;月&quot;d&quot;日&quot;;@"/>
    <numFmt numFmtId="180" formatCode="#,##0_ "/>
    <numFmt numFmtId="181" formatCode="#,##0_ ;[Red]\-#,##0\ "/>
    <numFmt numFmtId="182" formatCode="\(aaa\)"/>
    <numFmt numFmtId="183" formatCode="[$-411]ggge&quot;年&quot;m&quot;月&quot;d&quot;日&quot;;@"/>
    <numFmt numFmtId="184" formatCode="&quot;¥&quot;#,##0\ ;[Red]&quot;¥&quot;\-#,##0\ "/>
    <numFmt numFmtId="185" formatCode="mm/dd;@"/>
    <numFmt numFmtId="186" formatCode="yyyy/m/d\(aaa\)"/>
    <numFmt numFmtId="187" formatCode="#,##0&quot;円&quot;"/>
    <numFmt numFmtId="188" formatCode="[$-F800]dddd\,\ mmmm\ dd\,\ yyyy"/>
  </numFmts>
  <fonts count="24">
    <font>
      <sz val="11"/>
      <color theme="1"/>
      <name val="游ゴシック"/>
      <family val="2"/>
      <charset val="128"/>
      <scheme val="minor"/>
    </font>
    <font>
      <sz val="11"/>
      <color theme="1"/>
      <name val="ＭＳ 明朝"/>
      <family val="2"/>
      <charset val="128"/>
    </font>
    <font>
      <sz val="6"/>
      <name val="游ゴシック"/>
      <family val="2"/>
      <charset val="128"/>
      <scheme val="minor"/>
    </font>
    <font>
      <sz val="6"/>
      <name val="ＭＳ 明朝"/>
      <family val="2"/>
      <charset val="128"/>
    </font>
    <font>
      <sz val="11"/>
      <color theme="1"/>
      <name val="ＭＳ 明朝"/>
      <family val="1"/>
      <charset val="128"/>
    </font>
    <font>
      <b/>
      <u/>
      <sz val="26"/>
      <color rgb="FFFF0000"/>
      <name val="游ゴシック"/>
      <family val="3"/>
      <charset val="128"/>
      <scheme val="minor"/>
    </font>
    <font>
      <b/>
      <sz val="11"/>
      <color rgb="FFFF0000"/>
      <name val="游ゴシック"/>
      <family val="3"/>
      <charset val="128"/>
      <scheme val="minor"/>
    </font>
    <font>
      <sz val="11"/>
      <color theme="1"/>
      <name val="游ゴシック"/>
      <family val="2"/>
      <charset val="128"/>
      <scheme val="minor"/>
    </font>
    <font>
      <sz val="9"/>
      <color theme="1"/>
      <name val="ＭＳ 明朝"/>
      <family val="1"/>
      <charset val="128"/>
    </font>
    <font>
      <sz val="11"/>
      <name val="游ゴシック"/>
      <family val="3"/>
      <charset val="128"/>
      <scheme val="minor"/>
    </font>
    <font>
      <sz val="11"/>
      <name val="ＭＳ Ｐゴシック"/>
      <family val="3"/>
      <charset val="128"/>
    </font>
    <font>
      <sz val="11"/>
      <name val="ＭＳ 明朝"/>
      <family val="1"/>
      <charset val="128"/>
    </font>
    <font>
      <b/>
      <sz val="14"/>
      <name val="ＭＳ 明朝"/>
      <family val="1"/>
      <charset val="128"/>
    </font>
    <font>
      <sz val="6"/>
      <name val="ＭＳ Ｐゴシック"/>
      <family val="3"/>
      <charset val="128"/>
    </font>
    <font>
      <sz val="8"/>
      <name val="ＭＳ 明朝"/>
      <family val="1"/>
      <charset val="128"/>
    </font>
    <font>
      <sz val="9"/>
      <name val="ＭＳ 明朝"/>
      <family val="1"/>
      <charset val="128"/>
    </font>
    <font>
      <b/>
      <sz val="9"/>
      <color indexed="81"/>
      <name val="MS P ゴシック"/>
      <family val="3"/>
      <charset val="128"/>
    </font>
    <font>
      <sz val="11"/>
      <color theme="1"/>
      <name val="游ゴシック"/>
      <family val="3"/>
      <charset val="128"/>
      <scheme val="minor"/>
    </font>
    <font>
      <sz val="12"/>
      <color theme="1"/>
      <name val="ＭＳ 明朝"/>
      <family val="1"/>
      <charset val="128"/>
    </font>
    <font>
      <sz val="11"/>
      <color rgb="FFFF0000"/>
      <name val="游ゴシック"/>
      <family val="2"/>
      <charset val="128"/>
      <scheme val="minor"/>
    </font>
    <font>
      <sz val="9"/>
      <color rgb="FFFF0000"/>
      <name val="游ゴシック"/>
      <family val="2"/>
      <charset val="128"/>
      <scheme val="minor"/>
    </font>
    <font>
      <sz val="11"/>
      <color rgb="FFFF0000"/>
      <name val="游ゴシック"/>
      <family val="3"/>
      <charset val="128"/>
      <scheme val="minor"/>
    </font>
    <font>
      <sz val="9"/>
      <color rgb="FFFF0000"/>
      <name val="游ゴシック"/>
      <family val="3"/>
      <charset val="128"/>
      <scheme val="minor"/>
    </font>
    <font>
      <sz val="9"/>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7" fillId="0" borderId="0" applyFont="0" applyFill="0" applyBorder="0" applyAlignment="0" applyProtection="0">
      <alignment vertical="center"/>
    </xf>
    <xf numFmtId="0" fontId="10" fillId="0" borderId="0"/>
    <xf numFmtId="6" fontId="10" fillId="0" borderId="0" applyFont="0" applyFill="0" applyBorder="0" applyAlignment="0" applyProtection="0">
      <alignment vertical="center"/>
    </xf>
    <xf numFmtId="38" fontId="10" fillId="0" borderId="0" applyFont="0" applyFill="0" applyBorder="0" applyAlignment="0" applyProtection="0">
      <alignment vertical="center"/>
    </xf>
  </cellStyleXfs>
  <cellXfs count="313">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shrinkToFi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2" xfId="0" applyBorder="1" applyAlignment="1">
      <alignment horizontal="center" vertical="center" wrapText="1"/>
    </xf>
    <xf numFmtId="180" fontId="0" fillId="0" borderId="0" xfId="0" applyNumberFormat="1">
      <alignment vertical="center"/>
    </xf>
    <xf numFmtId="0" fontId="0" fillId="0" borderId="1" xfId="0" applyBorder="1">
      <alignment vertical="center"/>
    </xf>
    <xf numFmtId="180" fontId="0" fillId="0" borderId="1" xfId="0" applyNumberFormat="1" applyBorder="1">
      <alignment vertical="center"/>
    </xf>
    <xf numFmtId="181" fontId="0" fillId="0" borderId="19" xfId="0" applyNumberFormat="1" applyBorder="1">
      <alignment vertical="center"/>
    </xf>
    <xf numFmtId="181" fontId="0" fillId="0" borderId="0" xfId="0" applyNumberFormat="1">
      <alignment vertical="center"/>
    </xf>
    <xf numFmtId="181" fontId="0" fillId="0" borderId="1" xfId="0" applyNumberFormat="1" applyBorder="1">
      <alignment vertical="center"/>
    </xf>
    <xf numFmtId="182" fontId="0" fillId="0" borderId="0" xfId="0" applyNumberFormat="1" applyAlignment="1">
      <alignment horizontal="center" vertical="center"/>
    </xf>
    <xf numFmtId="183" fontId="0" fillId="0" borderId="0" xfId="0" applyNumberFormat="1" applyAlignment="1">
      <alignment horizontal="center" vertical="center"/>
    </xf>
    <xf numFmtId="180" fontId="0" fillId="0" borderId="0" xfId="0" applyNumberFormat="1" applyAlignment="1">
      <alignment horizontal="center" vertical="center"/>
    </xf>
    <xf numFmtId="0" fontId="0" fillId="2" borderId="0" xfId="0" applyFill="1">
      <alignment vertical="center"/>
    </xf>
    <xf numFmtId="183" fontId="0" fillId="2" borderId="0" xfId="0" applyNumberFormat="1" applyFill="1" applyAlignment="1">
      <alignment horizontal="center" vertical="center"/>
    </xf>
    <xf numFmtId="182" fontId="0" fillId="2" borderId="0" xfId="0" applyNumberFormat="1" applyFill="1" applyAlignment="1">
      <alignment horizontal="center" vertical="center"/>
    </xf>
    <xf numFmtId="0" fontId="0" fillId="2" borderId="0" xfId="0" applyFill="1" applyAlignment="1">
      <alignment horizontal="center" vertical="center"/>
    </xf>
    <xf numFmtId="180" fontId="0" fillId="2" borderId="0" xfId="0" applyNumberFormat="1" applyFill="1" applyAlignment="1">
      <alignment horizontal="center" vertical="center"/>
    </xf>
    <xf numFmtId="183" fontId="0" fillId="0" borderId="1" xfId="0" applyNumberFormat="1" applyBorder="1" applyAlignment="1">
      <alignment horizontal="center" vertical="center"/>
    </xf>
    <xf numFmtId="182" fontId="0" fillId="0" borderId="1" xfId="0" applyNumberFormat="1" applyBorder="1" applyAlignment="1">
      <alignment horizontal="center" vertical="center"/>
    </xf>
    <xf numFmtId="180"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0" borderId="0" xfId="0" applyFont="1">
      <alignment vertical="center"/>
    </xf>
    <xf numFmtId="0" fontId="4" fillId="0" borderId="1" xfId="0" applyFont="1" applyBorder="1" applyAlignment="1">
      <alignment vertical="center" wrapText="1"/>
    </xf>
    <xf numFmtId="0" fontId="4" fillId="0" borderId="8" xfId="0" applyFont="1" applyBorder="1">
      <alignment vertical="center"/>
    </xf>
    <xf numFmtId="0" fontId="4" fillId="0" borderId="26" xfId="0" applyFont="1" applyBorder="1">
      <alignment vertical="center"/>
    </xf>
    <xf numFmtId="0" fontId="4" fillId="0" borderId="30" xfId="0" applyFont="1" applyBorder="1">
      <alignment vertical="center"/>
    </xf>
    <xf numFmtId="0" fontId="4" fillId="0" borderId="31" xfId="0" applyFont="1" applyBorder="1" applyAlignment="1">
      <alignment horizontal="center" vertical="center" wrapText="1"/>
    </xf>
    <xf numFmtId="0" fontId="4" fillId="0" borderId="9" xfId="0" applyFont="1" applyBorder="1">
      <alignment vertical="center"/>
    </xf>
    <xf numFmtId="0" fontId="8" fillId="0" borderId="0" xfId="0" applyFont="1">
      <alignment vertical="center"/>
    </xf>
    <xf numFmtId="0" fontId="4" fillId="0" borderId="7" xfId="0" applyFont="1" applyBorder="1" applyAlignment="1">
      <alignment horizontal="center" vertical="center"/>
    </xf>
    <xf numFmtId="0" fontId="0" fillId="0" borderId="12" xfId="0" applyBorder="1">
      <alignment vertical="center"/>
    </xf>
    <xf numFmtId="0" fontId="0" fillId="0" borderId="0" xfId="0" applyAlignment="1">
      <alignment horizontal="left" vertical="center"/>
    </xf>
    <xf numFmtId="0" fontId="0" fillId="0" borderId="5" xfId="0" applyBorder="1">
      <alignment vertical="center"/>
    </xf>
    <xf numFmtId="178" fontId="0" fillId="0" borderId="1" xfId="0" applyNumberFormat="1" applyBorder="1">
      <alignment vertical="center"/>
    </xf>
    <xf numFmtId="38" fontId="9" fillId="0" borderId="0" xfId="1" applyFont="1" applyFill="1" applyBorder="1" applyAlignment="1">
      <alignment vertical="center"/>
    </xf>
    <xf numFmtId="0" fontId="0" fillId="2" borderId="1" xfId="0" applyFill="1" applyBorder="1" applyAlignment="1">
      <alignment horizontal="center" vertical="center"/>
    </xf>
    <xf numFmtId="181" fontId="0" fillId="2" borderId="1" xfId="0" applyNumberFormat="1" applyFill="1" applyBorder="1" applyAlignment="1">
      <alignment horizontal="center" vertical="center"/>
    </xf>
    <xf numFmtId="38" fontId="0" fillId="0" borderId="0" xfId="1" applyFont="1" applyBorder="1">
      <alignment vertical="center"/>
    </xf>
    <xf numFmtId="0" fontId="0" fillId="0" borderId="21" xfId="0" applyBorder="1">
      <alignment vertical="center"/>
    </xf>
    <xf numFmtId="0" fontId="0" fillId="0" borderId="42" xfId="0" applyBorder="1">
      <alignment vertical="center"/>
    </xf>
    <xf numFmtId="0" fontId="0" fillId="2" borderId="4" xfId="0" applyFill="1" applyBorder="1" applyAlignment="1">
      <alignment horizontal="center" vertical="center"/>
    </xf>
    <xf numFmtId="0" fontId="11" fillId="0" borderId="0" xfId="2" applyFont="1"/>
    <xf numFmtId="0" fontId="11" fillId="0" borderId="14" xfId="2" applyFont="1" applyBorder="1" applyAlignment="1">
      <alignment vertical="center"/>
    </xf>
    <xf numFmtId="0" fontId="11" fillId="0" borderId="0" xfId="2" applyFont="1" applyAlignment="1">
      <alignment horizontal="left" vertical="center"/>
    </xf>
    <xf numFmtId="0" fontId="11" fillId="0" borderId="0" xfId="2" applyFont="1" applyAlignment="1">
      <alignment vertical="center"/>
    </xf>
    <xf numFmtId="0" fontId="11" fillId="0" borderId="16" xfId="2" applyFont="1" applyBorder="1" applyAlignment="1">
      <alignment vertical="center"/>
    </xf>
    <xf numFmtId="0" fontId="11" fillId="0" borderId="43" xfId="2" applyFont="1" applyBorder="1" applyAlignment="1">
      <alignment horizontal="distributed" vertical="center" indent="1"/>
    </xf>
    <xf numFmtId="184" fontId="14" fillId="0" borderId="0" xfId="3" applyNumberFormat="1" applyFont="1" applyBorder="1" applyAlignment="1"/>
    <xf numFmtId="0" fontId="14" fillId="0" borderId="0" xfId="2" applyFont="1"/>
    <xf numFmtId="0" fontId="11" fillId="0" borderId="0" xfId="2" applyFont="1" applyAlignment="1">
      <alignment horizontal="distributed" vertical="center" indent="1"/>
    </xf>
    <xf numFmtId="184" fontId="11" fillId="0" borderId="0" xfId="3" applyNumberFormat="1" applyFont="1" applyBorder="1" applyAlignment="1">
      <alignment vertical="center"/>
    </xf>
    <xf numFmtId="0" fontId="11" fillId="0" borderId="2" xfId="2" applyFont="1" applyBorder="1" applyAlignment="1">
      <alignment vertical="center"/>
    </xf>
    <xf numFmtId="0" fontId="11" fillId="0" borderId="4" xfId="2" applyFont="1" applyBorder="1" applyAlignment="1">
      <alignment horizontal="distributed" vertical="center" indent="1"/>
    </xf>
    <xf numFmtId="183" fontId="11" fillId="0" borderId="11" xfId="3" applyNumberFormat="1" applyFont="1" applyBorder="1" applyAlignment="1" applyProtection="1">
      <alignment vertical="center"/>
    </xf>
    <xf numFmtId="0" fontId="11" fillId="0" borderId="0" xfId="2" applyFont="1" applyAlignment="1">
      <alignment horizontal="left" indent="1"/>
    </xf>
    <xf numFmtId="0" fontId="11" fillId="0" borderId="1" xfId="2" applyFont="1" applyBorder="1" applyAlignment="1">
      <alignment horizontal="center" vertical="center" shrinkToFit="1"/>
    </xf>
    <xf numFmtId="0" fontId="11" fillId="0" borderId="5" xfId="2" applyFont="1" applyBorder="1" applyAlignment="1">
      <alignment horizontal="center" vertical="center"/>
    </xf>
    <xf numFmtId="0" fontId="11" fillId="0" borderId="48" xfId="2" applyFont="1" applyBorder="1" applyAlignment="1">
      <alignment horizontal="center" vertical="center"/>
    </xf>
    <xf numFmtId="0" fontId="11" fillId="0" borderId="48" xfId="2" applyFont="1" applyBorder="1" applyAlignment="1">
      <alignment vertical="center" shrinkToFit="1"/>
    </xf>
    <xf numFmtId="185" fontId="11" fillId="0" borderId="49" xfId="2" applyNumberFormat="1" applyFont="1" applyBorder="1" applyAlignment="1">
      <alignment horizontal="center" vertical="center"/>
    </xf>
    <xf numFmtId="182" fontId="11" fillId="0" borderId="50" xfId="2" applyNumberFormat="1" applyFont="1" applyBorder="1" applyAlignment="1">
      <alignment horizontal="center" vertical="center"/>
    </xf>
    <xf numFmtId="0" fontId="11" fillId="0" borderId="48" xfId="2" applyFont="1" applyBorder="1" applyAlignment="1">
      <alignment vertical="center"/>
    </xf>
    <xf numFmtId="38" fontId="11" fillId="0" borderId="48" xfId="4" applyFont="1" applyBorder="1" applyAlignment="1" applyProtection="1">
      <alignment vertical="center"/>
    </xf>
    <xf numFmtId="38" fontId="11" fillId="0" borderId="48" xfId="4" applyFont="1" applyBorder="1" applyAlignment="1">
      <alignment vertical="center"/>
    </xf>
    <xf numFmtId="38" fontId="11" fillId="0" borderId="9" xfId="4" applyFont="1" applyBorder="1" applyAlignment="1" applyProtection="1">
      <alignment vertical="center"/>
    </xf>
    <xf numFmtId="0" fontId="11" fillId="0" borderId="0" xfId="2" applyFont="1" applyAlignment="1" applyProtection="1">
      <alignment vertical="center" shrinkToFit="1"/>
      <protection locked="0"/>
    </xf>
    <xf numFmtId="185" fontId="11" fillId="0" borderId="0" xfId="2" applyNumberFormat="1" applyFont="1" applyAlignment="1" applyProtection="1">
      <alignment horizontal="center" vertical="center"/>
      <protection locked="0"/>
    </xf>
    <xf numFmtId="182" fontId="11" fillId="0" borderId="0" xfId="2" applyNumberFormat="1" applyFont="1" applyAlignment="1">
      <alignment horizontal="center" vertical="center"/>
    </xf>
    <xf numFmtId="177" fontId="11" fillId="0" borderId="0" xfId="2" applyNumberFormat="1" applyFont="1" applyAlignment="1" applyProtection="1">
      <alignment horizontal="center" vertical="center"/>
      <protection locked="0"/>
    </xf>
    <xf numFmtId="0" fontId="11" fillId="0" borderId="2" xfId="2" applyFont="1" applyBorder="1" applyAlignment="1">
      <alignment horizontal="center" vertical="center"/>
    </xf>
    <xf numFmtId="177" fontId="11" fillId="0" borderId="3" xfId="2" applyNumberFormat="1"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38" fontId="11" fillId="0" borderId="4" xfId="4" applyFont="1" applyBorder="1" applyAlignment="1" applyProtection="1">
      <alignment vertical="center"/>
      <protection locked="0"/>
    </xf>
    <xf numFmtId="38" fontId="11" fillId="0" borderId="1" xfId="4" applyFont="1" applyBorder="1" applyAlignment="1" applyProtection="1">
      <alignment vertical="center"/>
    </xf>
    <xf numFmtId="0" fontId="11" fillId="0" borderId="0" xfId="2" applyFont="1" applyAlignment="1">
      <alignment horizontal="left" vertical="center" indent="1"/>
    </xf>
    <xf numFmtId="0" fontId="11" fillId="0" borderId="20" xfId="2" applyFont="1" applyBorder="1" applyAlignment="1" applyProtection="1">
      <alignment vertical="center" shrinkToFit="1"/>
      <protection locked="0"/>
    </xf>
    <xf numFmtId="0" fontId="11" fillId="0" borderId="39" xfId="2" applyFont="1" applyBorder="1" applyAlignment="1" applyProtection="1">
      <alignment vertical="center"/>
      <protection locked="0"/>
    </xf>
    <xf numFmtId="0" fontId="11" fillId="0" borderId="21" xfId="2" applyFont="1" applyBorder="1" applyAlignment="1" applyProtection="1">
      <alignment vertical="center"/>
      <protection locked="0"/>
    </xf>
    <xf numFmtId="0" fontId="11" fillId="0" borderId="13" xfId="2" applyFont="1" applyBorder="1" applyAlignment="1">
      <alignment horizontal="center" vertical="center"/>
    </xf>
    <xf numFmtId="177" fontId="11" fillId="0" borderId="14" xfId="2" applyNumberFormat="1" applyFont="1" applyBorder="1" applyAlignment="1" applyProtection="1">
      <alignment horizontal="left" vertical="center"/>
      <protection locked="0"/>
    </xf>
    <xf numFmtId="0" fontId="11" fillId="0" borderId="14" xfId="2" applyFont="1" applyBorder="1" applyAlignment="1" applyProtection="1">
      <alignment horizontal="left" vertical="center" indent="2"/>
      <protection locked="0"/>
    </xf>
    <xf numFmtId="9" fontId="11" fillId="0" borderId="15" xfId="4" applyNumberFormat="1" applyFont="1" applyBorder="1" applyAlignment="1" applyProtection="1">
      <alignment horizontal="center" vertical="center"/>
      <protection locked="0"/>
    </xf>
    <xf numFmtId="0" fontId="11" fillId="0" borderId="37" xfId="2" applyFont="1" applyBorder="1"/>
    <xf numFmtId="0" fontId="11" fillId="0" borderId="0" xfId="2" applyFont="1" applyAlignment="1" applyProtection="1">
      <alignment vertical="center"/>
      <protection locked="0"/>
    </xf>
    <xf numFmtId="0" fontId="11" fillId="0" borderId="38" xfId="2" applyFont="1" applyBorder="1" applyAlignment="1" applyProtection="1">
      <alignment vertical="center"/>
      <protection locked="0"/>
    </xf>
    <xf numFmtId="0" fontId="11" fillId="0" borderId="13" xfId="2" applyFont="1" applyBorder="1" applyAlignment="1">
      <alignment vertical="center"/>
    </xf>
    <xf numFmtId="0" fontId="11" fillId="0" borderId="14" xfId="2" applyFont="1" applyBorder="1" applyAlignment="1">
      <alignment horizontal="left" vertical="center"/>
    </xf>
    <xf numFmtId="0" fontId="11" fillId="0" borderId="14" xfId="2" applyFont="1" applyBorder="1" applyAlignment="1">
      <alignment horizontal="left" vertical="center" indent="2"/>
    </xf>
    <xf numFmtId="9" fontId="11" fillId="0" borderId="15" xfId="2" applyNumberFormat="1" applyFont="1" applyBorder="1" applyAlignment="1">
      <alignment horizontal="center" vertical="center"/>
    </xf>
    <xf numFmtId="0" fontId="11" fillId="0" borderId="40" xfId="2" applyFont="1" applyBorder="1"/>
    <xf numFmtId="0" fontId="11" fillId="0" borderId="41" xfId="2" applyFont="1" applyBorder="1"/>
    <xf numFmtId="0" fontId="11" fillId="0" borderId="42" xfId="2" applyFont="1" applyBorder="1"/>
    <xf numFmtId="0" fontId="11" fillId="0" borderId="0" xfId="2" applyFont="1" applyAlignment="1">
      <alignment horizontal="center" vertical="center"/>
    </xf>
    <xf numFmtId="0" fontId="15" fillId="0" borderId="0" xfId="2" applyFont="1" applyAlignment="1">
      <alignment horizontal="right" vertical="top"/>
    </xf>
    <xf numFmtId="0" fontId="11" fillId="0" borderId="14" xfId="2" applyFont="1" applyBorder="1"/>
    <xf numFmtId="0" fontId="11" fillId="0" borderId="11" xfId="2" applyFont="1" applyBorder="1" applyAlignment="1">
      <alignment horizontal="center"/>
    </xf>
    <xf numFmtId="0" fontId="15" fillId="0" borderId="0" xfId="2" applyFont="1"/>
    <xf numFmtId="49" fontId="11" fillId="0" borderId="0" xfId="2" applyNumberFormat="1" applyFont="1" applyAlignment="1">
      <alignment vertical="center"/>
    </xf>
    <xf numFmtId="0" fontId="11" fillId="0" borderId="12" xfId="2" applyFont="1" applyBorder="1"/>
    <xf numFmtId="0" fontId="11" fillId="0" borderId="13" xfId="2" applyFont="1" applyBorder="1" applyAlignment="1">
      <alignment horizontal="center"/>
    </xf>
    <xf numFmtId="0" fontId="15" fillId="0" borderId="14" xfId="2" applyFont="1" applyBorder="1"/>
    <xf numFmtId="0" fontId="11" fillId="0" borderId="14" xfId="2" applyFont="1" applyBorder="1" applyAlignment="1">
      <alignment horizontal="center" vertical="center"/>
    </xf>
    <xf numFmtId="0" fontId="11" fillId="0" borderId="15" xfId="2" applyFont="1" applyBorder="1" applyAlignment="1">
      <alignment horizontal="right"/>
    </xf>
    <xf numFmtId="0" fontId="0" fillId="0" borderId="54" xfId="0" applyBorder="1" applyAlignment="1">
      <alignment horizontal="distributed" vertical="center" indent="1"/>
    </xf>
    <xf numFmtId="0" fontId="0" fillId="0" borderId="55" xfId="0" applyBorder="1" applyAlignment="1">
      <alignment horizontal="distributed" vertical="center" indent="1"/>
    </xf>
    <xf numFmtId="14" fontId="0" fillId="0" borderId="0" xfId="0" applyNumberFormat="1">
      <alignment vertical="center"/>
    </xf>
    <xf numFmtId="179" fontId="0" fillId="0" borderId="3" xfId="0" applyNumberFormat="1" applyBorder="1" applyAlignment="1" applyProtection="1">
      <alignment horizontal="center" vertical="center"/>
      <protection locked="0"/>
    </xf>
    <xf numFmtId="179" fontId="0" fillId="0" borderId="2" xfId="0" applyNumberFormat="1" applyBorder="1" applyProtection="1">
      <alignment vertical="center"/>
      <protection locked="0"/>
    </xf>
    <xf numFmtId="0" fontId="0" fillId="0" borderId="0" xfId="0" applyAlignment="1">
      <alignment horizontal="distributed" vertical="center" indent="1"/>
    </xf>
    <xf numFmtId="179" fontId="0" fillId="0" borderId="3" xfId="0" applyNumberFormat="1" applyBorder="1" applyAlignment="1" applyProtection="1">
      <alignment horizontal="left" vertical="center"/>
      <protection locked="0"/>
    </xf>
    <xf numFmtId="0" fontId="0" fillId="0" borderId="52" xfId="0" applyBorder="1" applyAlignment="1">
      <alignment horizontal="distributed" vertical="center" indent="1"/>
    </xf>
    <xf numFmtId="176" fontId="0" fillId="0" borderId="23" xfId="0" applyNumberFormat="1" applyBorder="1" applyAlignment="1" applyProtection="1">
      <alignment horizontal="left" vertical="center" indent="1"/>
      <protection locked="0"/>
    </xf>
    <xf numFmtId="0" fontId="0" fillId="0" borderId="3" xfId="0" applyBorder="1" applyAlignment="1" applyProtection="1">
      <alignment horizontal="right" vertical="center" indent="1"/>
      <protection locked="0"/>
    </xf>
    <xf numFmtId="186" fontId="6" fillId="3" borderId="19" xfId="0" applyNumberFormat="1" applyFont="1" applyFill="1" applyBorder="1">
      <alignment vertical="center"/>
    </xf>
    <xf numFmtId="0" fontId="6" fillId="3" borderId="19" xfId="0" applyFont="1" applyFill="1" applyBorder="1" applyAlignment="1">
      <alignment horizontal="center" vertical="center"/>
    </xf>
    <xf numFmtId="178" fontId="0" fillId="3" borderId="3" xfId="0" applyNumberFormat="1" applyFill="1" applyBorder="1" applyAlignment="1" applyProtection="1">
      <alignment horizontal="right" vertical="center" indent="1"/>
      <protection locked="0"/>
    </xf>
    <xf numFmtId="179" fontId="0" fillId="3" borderId="2" xfId="0" applyNumberFormat="1" applyFill="1" applyBorder="1" applyProtection="1">
      <alignment vertical="center"/>
      <protection locked="0"/>
    </xf>
    <xf numFmtId="0" fontId="5" fillId="0" borderId="0" xfId="0" applyFont="1">
      <alignment vertical="center"/>
    </xf>
    <xf numFmtId="0" fontId="0" fillId="0" borderId="20" xfId="0" applyBorder="1">
      <alignment vertical="center"/>
    </xf>
    <xf numFmtId="0" fontId="0" fillId="0" borderId="39" xfId="0" applyBorder="1">
      <alignment vertical="center"/>
    </xf>
    <xf numFmtId="0" fontId="0" fillId="0" borderId="38" xfId="0" applyBorder="1">
      <alignment vertical="center"/>
    </xf>
    <xf numFmtId="0" fontId="0" fillId="0" borderId="37" xfId="0" applyBorder="1">
      <alignment vertical="center"/>
    </xf>
    <xf numFmtId="0" fontId="5" fillId="0" borderId="38" xfId="0" applyFont="1" applyBorder="1">
      <alignment vertical="center"/>
    </xf>
    <xf numFmtId="0" fontId="0" fillId="0" borderId="40" xfId="0" applyBorder="1">
      <alignment vertical="center"/>
    </xf>
    <xf numFmtId="0" fontId="0" fillId="0" borderId="41" xfId="0" applyBorder="1">
      <alignment vertical="center"/>
    </xf>
    <xf numFmtId="177" fontId="0" fillId="0" borderId="59" xfId="0" applyNumberFormat="1" applyBorder="1" applyAlignment="1">
      <alignment vertical="center" shrinkToFit="1"/>
    </xf>
    <xf numFmtId="177" fontId="0" fillId="0" borderId="36" xfId="0" applyNumberFormat="1" applyBorder="1" applyAlignment="1">
      <alignment vertical="center" shrinkToFit="1"/>
    </xf>
    <xf numFmtId="178" fontId="6" fillId="3" borderId="56" xfId="0" applyNumberFormat="1" applyFont="1" applyFill="1" applyBorder="1" applyAlignment="1" applyProtection="1">
      <alignment horizontal="center" vertical="center"/>
      <protection locked="0"/>
    </xf>
    <xf numFmtId="178" fontId="6" fillId="3" borderId="61" xfId="0" applyNumberFormat="1" applyFont="1" applyFill="1" applyBorder="1" applyAlignment="1" applyProtection="1">
      <alignment horizontal="center" vertical="center"/>
      <protection locked="0"/>
    </xf>
    <xf numFmtId="0" fontId="0" fillId="0" borderId="62" xfId="0" applyBorder="1" applyAlignment="1">
      <alignment horizontal="center" vertical="center" shrinkToFit="1"/>
    </xf>
    <xf numFmtId="0" fontId="0" fillId="0" borderId="63" xfId="0" applyBorder="1" applyAlignment="1">
      <alignment horizontal="center" vertical="center"/>
    </xf>
    <xf numFmtId="0" fontId="0" fillId="0" borderId="64" xfId="0" applyBorder="1" applyAlignment="1">
      <alignment horizontal="center" vertical="center"/>
    </xf>
    <xf numFmtId="0" fontId="17" fillId="0" borderId="0" xfId="0" applyFont="1" applyAlignment="1">
      <alignment horizontal="left" vertical="center"/>
    </xf>
    <xf numFmtId="0" fontId="0" fillId="0" borderId="4" xfId="0" applyBorder="1">
      <alignment vertical="center"/>
    </xf>
    <xf numFmtId="187" fontId="0" fillId="0" borderId="1" xfId="0" applyNumberFormat="1" applyBorder="1">
      <alignment vertical="center"/>
    </xf>
    <xf numFmtId="0" fontId="11" fillId="0" borderId="3" xfId="2" applyFont="1" applyBorder="1" applyAlignment="1">
      <alignment horizontal="distributed" vertical="center" indent="1"/>
    </xf>
    <xf numFmtId="0" fontId="11" fillId="0" borderId="4" xfId="2" applyFont="1" applyBorder="1" applyAlignment="1" applyProtection="1">
      <alignment vertical="center"/>
      <protection locked="0"/>
    </xf>
    <xf numFmtId="186" fontId="9" fillId="0" borderId="10" xfId="0" applyNumberFormat="1" applyFont="1" applyBorder="1" applyAlignment="1">
      <alignment horizontal="center" vertical="center"/>
    </xf>
    <xf numFmtId="186" fontId="9" fillId="0" borderId="1" xfId="0" applyNumberFormat="1" applyFont="1" applyBorder="1" applyAlignment="1">
      <alignment horizontal="center" vertical="center"/>
    </xf>
    <xf numFmtId="38" fontId="0" fillId="0" borderId="3" xfId="1" applyFont="1" applyBorder="1">
      <alignment vertical="center"/>
    </xf>
    <xf numFmtId="38" fontId="0" fillId="0" borderId="16" xfId="0" applyNumberFormat="1" applyBorder="1">
      <alignment vertical="center"/>
    </xf>
    <xf numFmtId="0" fontId="0" fillId="0" borderId="18" xfId="0" applyBorder="1">
      <alignment vertical="center"/>
    </xf>
    <xf numFmtId="187" fontId="0" fillId="0" borderId="0" xfId="0" applyNumberFormat="1">
      <alignment vertical="center"/>
    </xf>
    <xf numFmtId="0" fontId="0" fillId="0" borderId="19" xfId="0" applyBorder="1" applyAlignment="1">
      <alignment horizontal="center" vertical="center"/>
    </xf>
    <xf numFmtId="0" fontId="6" fillId="4" borderId="19" xfId="0" applyFont="1" applyFill="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vertical="center" wrapText="1"/>
    </xf>
    <xf numFmtId="0" fontId="4" fillId="0" borderId="68" xfId="0" applyFont="1" applyBorder="1">
      <alignment vertical="center"/>
    </xf>
    <xf numFmtId="0" fontId="4" fillId="0" borderId="52" xfId="0" applyFont="1" applyBorder="1" applyAlignment="1">
      <alignment horizontal="center" vertical="center" wrapText="1"/>
    </xf>
    <xf numFmtId="0" fontId="4" fillId="0" borderId="22" xfId="0" applyFont="1" applyBorder="1">
      <alignment vertical="center"/>
    </xf>
    <xf numFmtId="0" fontId="18" fillId="0" borderId="55" xfId="0" applyFont="1" applyBorder="1" applyAlignment="1">
      <alignment horizontal="center" vertical="center" wrapText="1"/>
    </xf>
    <xf numFmtId="0" fontId="8" fillId="0" borderId="34" xfId="0" applyFont="1" applyBorder="1" applyAlignment="1">
      <alignment horizontal="center" vertical="center"/>
    </xf>
    <xf numFmtId="0" fontId="4" fillId="0" borderId="24" xfId="0" applyFont="1" applyBorder="1">
      <alignment vertical="center"/>
    </xf>
    <xf numFmtId="0" fontId="0" fillId="0" borderId="69" xfId="0" applyBorder="1" applyAlignment="1">
      <alignment horizontal="center" vertical="center"/>
    </xf>
    <xf numFmtId="0" fontId="0" fillId="0" borderId="54" xfId="0" applyBorder="1">
      <alignment vertical="center"/>
    </xf>
    <xf numFmtId="0" fontId="0" fillId="0" borderId="55" xfId="0" applyBorder="1">
      <alignment vertical="center"/>
    </xf>
    <xf numFmtId="0" fontId="0" fillId="0" borderId="25" xfId="0" applyBorder="1" applyAlignment="1">
      <alignment horizontal="center" vertical="center"/>
    </xf>
    <xf numFmtId="178" fontId="6" fillId="3" borderId="58" xfId="0" applyNumberFormat="1" applyFont="1" applyFill="1" applyBorder="1" applyAlignment="1" applyProtection="1">
      <alignment horizontal="center" vertical="center"/>
      <protection locked="0"/>
    </xf>
    <xf numFmtId="0" fontId="9" fillId="0" borderId="12" xfId="0" applyFont="1" applyBorder="1" applyAlignment="1">
      <alignment horizontal="center" vertical="center"/>
    </xf>
    <xf numFmtId="0" fontId="0" fillId="0" borderId="27" xfId="0" applyBorder="1" applyAlignment="1">
      <alignment horizontal="center" vertical="center"/>
    </xf>
    <xf numFmtId="0" fontId="0" fillId="0" borderId="57" xfId="0" applyBorder="1" applyAlignment="1">
      <alignment horizontal="center" vertical="center" wrapText="1"/>
    </xf>
    <xf numFmtId="0" fontId="0" fillId="0" borderId="55" xfId="0" applyBorder="1" applyAlignment="1">
      <alignment horizontal="distributed" vertical="center" wrapText="1" indent="1"/>
    </xf>
    <xf numFmtId="0" fontId="20" fillId="5" borderId="54" xfId="0" applyFont="1" applyFill="1" applyBorder="1" applyAlignment="1">
      <alignment vertical="center" wrapText="1"/>
    </xf>
    <xf numFmtId="0" fontId="21" fillId="5" borderId="1" xfId="0" applyFont="1" applyFill="1" applyBorder="1" applyAlignment="1">
      <alignment horizontal="center" vertical="center"/>
    </xf>
    <xf numFmtId="0" fontId="22" fillId="5" borderId="54" xfId="0" applyFont="1" applyFill="1" applyBorder="1" applyAlignment="1">
      <alignment vertical="center" wrapText="1"/>
    </xf>
    <xf numFmtId="178" fontId="6" fillId="0" borderId="56" xfId="0" applyNumberFormat="1" applyFont="1" applyBorder="1" applyAlignment="1" applyProtection="1">
      <alignment horizontal="center" vertical="center"/>
      <protection locked="0"/>
    </xf>
    <xf numFmtId="177" fontId="19" fillId="0" borderId="60" xfId="0" applyNumberFormat="1" applyFont="1" applyBorder="1" applyAlignment="1">
      <alignment vertical="center" shrinkToFit="1"/>
    </xf>
    <xf numFmtId="177" fontId="21" fillId="0" borderId="59" xfId="0" applyNumberFormat="1" applyFont="1" applyBorder="1" applyAlignment="1">
      <alignment vertical="center" shrinkToFit="1"/>
    </xf>
    <xf numFmtId="178" fontId="0" fillId="5" borderId="1" xfId="0" applyNumberFormat="1" applyFill="1" applyBorder="1">
      <alignment vertical="center"/>
    </xf>
    <xf numFmtId="181" fontId="0" fillId="5" borderId="1" xfId="0" applyNumberFormat="1" applyFill="1" applyBorder="1">
      <alignment vertical="center"/>
    </xf>
    <xf numFmtId="0" fontId="0" fillId="0" borderId="9" xfId="0" applyBorder="1">
      <alignment vertical="center"/>
    </xf>
    <xf numFmtId="178" fontId="0" fillId="0" borderId="9" xfId="0" applyNumberFormat="1" applyBorder="1">
      <alignment vertical="center"/>
    </xf>
    <xf numFmtId="181" fontId="0" fillId="0" borderId="9" xfId="0" applyNumberFormat="1" applyBorder="1">
      <alignment vertical="center"/>
    </xf>
    <xf numFmtId="0" fontId="23" fillId="5" borderId="1" xfId="0" applyFont="1" applyFill="1" applyBorder="1" applyAlignment="1">
      <alignment vertical="center" wrapText="1"/>
    </xf>
    <xf numFmtId="0" fontId="9" fillId="5" borderId="1" xfId="0" applyFont="1" applyFill="1" applyBorder="1" applyAlignment="1">
      <alignment horizontal="center" vertical="center"/>
    </xf>
    <xf numFmtId="180" fontId="0" fillId="5" borderId="1" xfId="0" applyNumberFormat="1" applyFill="1" applyBorder="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1"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11"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33" xfId="0" applyBorder="1" applyAlignment="1">
      <alignment horizontal="center" vertical="center"/>
    </xf>
    <xf numFmtId="0" fontId="0" fillId="0" borderId="27" xfId="0" applyBorder="1" applyAlignment="1">
      <alignment horizontal="center" vertical="center"/>
    </xf>
    <xf numFmtId="0" fontId="0" fillId="3" borderId="34" xfId="0" applyFill="1" applyBorder="1" applyAlignment="1" applyProtection="1">
      <alignment horizontal="left" vertical="center" indent="1"/>
      <protection locked="0"/>
    </xf>
    <xf numFmtId="0" fontId="0" fillId="3" borderId="35" xfId="0" applyFill="1" applyBorder="1" applyAlignment="1" applyProtection="1">
      <alignment horizontal="left" vertical="center" indent="1"/>
      <protection locked="0"/>
    </xf>
    <xf numFmtId="0" fontId="0" fillId="3" borderId="24" xfId="0" applyFill="1" applyBorder="1" applyAlignment="1" applyProtection="1">
      <alignment horizontal="left" vertical="center" indent="1"/>
      <protection locked="0"/>
    </xf>
    <xf numFmtId="176" fontId="0" fillId="3" borderId="2" xfId="0" applyNumberFormat="1" applyFill="1" applyBorder="1" applyAlignment="1" applyProtection="1">
      <alignment horizontal="left" vertical="center" indent="1"/>
      <protection locked="0"/>
    </xf>
    <xf numFmtId="176" fontId="0" fillId="3" borderId="3" xfId="0" applyNumberFormat="1" applyFill="1" applyBorder="1" applyAlignment="1" applyProtection="1">
      <alignment horizontal="left" vertical="center" indent="1"/>
      <protection locked="0"/>
    </xf>
    <xf numFmtId="176" fontId="0" fillId="3" borderId="23" xfId="0" applyNumberFormat="1" applyFill="1" applyBorder="1" applyAlignment="1" applyProtection="1">
      <alignment horizontal="left" vertical="center" indent="1"/>
      <protection locked="0"/>
    </xf>
    <xf numFmtId="0" fontId="0" fillId="0" borderId="17" xfId="0" applyBorder="1" applyAlignment="1">
      <alignment horizontal="center" vertical="center"/>
    </xf>
    <xf numFmtId="0" fontId="0" fillId="0" borderId="18" xfId="0" applyBorder="1" applyAlignment="1">
      <alignment horizontal="center" vertical="center"/>
    </xf>
    <xf numFmtId="14" fontId="0" fillId="3" borderId="31" xfId="0" applyNumberFormat="1" applyFill="1" applyBorder="1" applyAlignment="1">
      <alignment horizontal="center" vertical="center"/>
    </xf>
    <xf numFmtId="0" fontId="0" fillId="3" borderId="31" xfId="0" applyFill="1" applyBorder="1" applyAlignment="1">
      <alignment horizontal="center" vertical="center"/>
    </xf>
    <xf numFmtId="0" fontId="0" fillId="3" borderId="53" xfId="0" applyFill="1" applyBorder="1" applyAlignment="1">
      <alignment horizontal="center" vertical="center"/>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 xfId="0" applyFill="1" applyBorder="1" applyAlignment="1" applyProtection="1">
      <alignment horizontal="center" vertical="center" wrapText="1"/>
      <protection locked="0"/>
    </xf>
    <xf numFmtId="0" fontId="0" fillId="3" borderId="34"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8" xfId="0" applyFill="1" applyBorder="1" applyAlignment="1" applyProtection="1">
      <alignment horizontal="left" vertical="center" indent="1"/>
      <protection locked="0"/>
    </xf>
    <xf numFmtId="0" fontId="0" fillId="3" borderId="29" xfId="0" applyFill="1" applyBorder="1" applyAlignment="1" applyProtection="1">
      <alignment horizontal="left" vertical="center" indent="1"/>
      <protection locked="0"/>
    </xf>
    <xf numFmtId="0" fontId="0" fillId="3" borderId="22" xfId="0" applyFill="1" applyBorder="1" applyAlignment="1" applyProtection="1">
      <alignment horizontal="left" vertical="center" indent="1"/>
      <protection locked="0"/>
    </xf>
    <xf numFmtId="177" fontId="11" fillId="0" borderId="49" xfId="2" applyNumberFormat="1" applyFont="1" applyBorder="1" applyAlignment="1">
      <alignment horizontal="center" vertical="center"/>
    </xf>
    <xf numFmtId="177" fontId="11" fillId="0" borderId="51" xfId="2" applyNumberFormat="1" applyFont="1" applyBorder="1" applyAlignment="1">
      <alignment horizontal="center" vertical="center"/>
    </xf>
    <xf numFmtId="177" fontId="11" fillId="0" borderId="50" xfId="2" applyNumberFormat="1" applyFont="1" applyBorder="1" applyAlignment="1">
      <alignment horizontal="center" vertical="center"/>
    </xf>
    <xf numFmtId="0" fontId="11" fillId="0" borderId="9" xfId="2" applyFont="1" applyBorder="1" applyAlignment="1">
      <alignment horizontal="left" vertical="center" indent="1"/>
    </xf>
    <xf numFmtId="0" fontId="11" fillId="0" borderId="2"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3" xfId="2" applyFont="1" applyBorder="1" applyAlignment="1">
      <alignment horizontal="center" vertical="center" shrinkToFit="1"/>
    </xf>
    <xf numFmtId="186" fontId="11" fillId="0" borderId="2" xfId="2" applyNumberFormat="1" applyFont="1" applyBorder="1" applyAlignment="1" applyProtection="1">
      <alignment horizontal="center" vertical="center"/>
      <protection locked="0"/>
    </xf>
    <xf numFmtId="186" fontId="11" fillId="0" borderId="3" xfId="2" applyNumberFormat="1"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0" fontId="11" fillId="0" borderId="45" xfId="2" applyFont="1" applyBorder="1" applyAlignment="1">
      <alignment horizontal="center" vertical="center" shrinkToFit="1"/>
    </xf>
    <xf numFmtId="0" fontId="11" fillId="0" borderId="46" xfId="2" applyFont="1" applyBorder="1" applyAlignment="1">
      <alignment horizontal="center" vertical="center" shrinkToFit="1"/>
    </xf>
    <xf numFmtId="0" fontId="11" fillId="0" borderId="47" xfId="2" applyFont="1" applyBorder="1" applyAlignment="1">
      <alignment horizontal="center" vertical="center" shrinkToFit="1"/>
    </xf>
    <xf numFmtId="179" fontId="11" fillId="0" borderId="0" xfId="2" applyNumberFormat="1" applyFont="1" applyAlignment="1" applyProtection="1">
      <alignment horizontal="right"/>
      <protection locked="0"/>
    </xf>
    <xf numFmtId="0" fontId="12" fillId="0" borderId="0" xfId="2" applyFont="1" applyAlignment="1">
      <alignment horizontal="center" vertical="top"/>
    </xf>
    <xf numFmtId="0" fontId="11" fillId="0" borderId="14" xfId="2" applyFont="1" applyBorder="1" applyAlignment="1">
      <alignment horizontal="left" vertical="center"/>
    </xf>
    <xf numFmtId="184" fontId="11" fillId="0" borderId="44" xfId="3" applyNumberFormat="1" applyFont="1" applyBorder="1" applyAlignment="1">
      <alignment horizontal="right" vertical="center"/>
    </xf>
    <xf numFmtId="184" fontId="11" fillId="0" borderId="17" xfId="3" applyNumberFormat="1" applyFont="1" applyBorder="1" applyAlignment="1">
      <alignment horizontal="right" vertical="center"/>
    </xf>
    <xf numFmtId="184" fontId="11" fillId="0" borderId="18" xfId="3" applyNumberFormat="1" applyFont="1" applyBorder="1" applyAlignment="1">
      <alignment horizontal="right" vertical="center"/>
    </xf>
    <xf numFmtId="183" fontId="11" fillId="0" borderId="2" xfId="3" applyNumberFormat="1" applyFont="1" applyBorder="1" applyAlignment="1" applyProtection="1">
      <alignment horizontal="right" vertical="center"/>
    </xf>
    <xf numFmtId="183" fontId="11" fillId="0" borderId="3" xfId="3" applyNumberFormat="1" applyFont="1" applyBorder="1" applyAlignment="1" applyProtection="1">
      <alignment horizontal="right" vertical="center"/>
    </xf>
    <xf numFmtId="183" fontId="11" fillId="0" borderId="4" xfId="3" applyNumberFormat="1" applyFont="1" applyBorder="1" applyAlignment="1" applyProtection="1">
      <alignment horizontal="right" vertical="center"/>
    </xf>
    <xf numFmtId="0" fontId="0" fillId="0" borderId="16" xfId="0"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38" fontId="4" fillId="0" borderId="28" xfId="1" applyFont="1" applyBorder="1" applyAlignment="1">
      <alignment horizontal="right" vertical="center"/>
    </xf>
    <xf numFmtId="38" fontId="4" fillId="0" borderId="29" xfId="1" applyFont="1" applyBorder="1" applyAlignment="1">
      <alignment horizontal="right" vertical="center"/>
    </xf>
    <xf numFmtId="38" fontId="4" fillId="0" borderId="28" xfId="1" applyFont="1" applyBorder="1" applyAlignment="1">
      <alignment horizontal="right" vertical="center" wrapText="1"/>
    </xf>
    <xf numFmtId="38" fontId="4" fillId="0" borderId="29" xfId="1" applyFont="1" applyBorder="1" applyAlignment="1">
      <alignment horizontal="right" vertical="center" wrapText="1"/>
    </xf>
    <xf numFmtId="38" fontId="4" fillId="0" borderId="34" xfId="1" applyFont="1" applyBorder="1" applyAlignment="1">
      <alignment horizontal="right" vertical="center"/>
    </xf>
    <xf numFmtId="38" fontId="4" fillId="0" borderId="35" xfId="1" applyFont="1" applyBorder="1" applyAlignment="1">
      <alignment horizontal="right" vertical="center"/>
    </xf>
    <xf numFmtId="0" fontId="8" fillId="0" borderId="35"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188" fontId="4" fillId="0" borderId="6" xfId="0" applyNumberFormat="1" applyFont="1" applyBorder="1" applyAlignment="1">
      <alignment horizontal="center" vertical="center"/>
    </xf>
    <xf numFmtId="188" fontId="4" fillId="0" borderId="7" xfId="0" applyNumberFormat="1" applyFont="1" applyBorder="1" applyAlignment="1">
      <alignment horizontal="center" vertical="center"/>
    </xf>
    <xf numFmtId="188" fontId="4" fillId="0" borderId="67" xfId="0" applyNumberFormat="1" applyFont="1" applyBorder="1" applyAlignment="1">
      <alignment horizontal="center" vertical="center"/>
    </xf>
    <xf numFmtId="38" fontId="4" fillId="0" borderId="66" xfId="1" applyFont="1" applyBorder="1" applyAlignment="1">
      <alignment horizontal="right" vertical="center"/>
    </xf>
    <xf numFmtId="38" fontId="4" fillId="0" borderId="7" xfId="1" applyFont="1" applyBorder="1" applyAlignment="1">
      <alignment horizontal="right" vertical="center"/>
    </xf>
    <xf numFmtId="38" fontId="4" fillId="0" borderId="60" xfId="1" applyFont="1" applyBorder="1" applyAlignment="1">
      <alignment horizontal="right" vertical="center"/>
    </xf>
    <xf numFmtId="38" fontId="4" fillId="0" borderId="14" xfId="1" applyFont="1" applyBorder="1" applyAlignment="1">
      <alignment horizontal="right" vertical="center"/>
    </xf>
    <xf numFmtId="0" fontId="4" fillId="0" borderId="67" xfId="0" applyFont="1" applyBorder="1" applyAlignment="1">
      <alignment horizontal="left" vertical="center"/>
    </xf>
    <xf numFmtId="0" fontId="4" fillId="0" borderId="32"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32" xfId="0" applyFont="1" applyBorder="1" applyAlignment="1">
      <alignment horizontal="center" vertical="center"/>
    </xf>
    <xf numFmtId="0" fontId="4" fillId="0" borderId="34" xfId="0" applyFont="1" applyBorder="1" applyAlignment="1">
      <alignment horizontal="right" vertical="center"/>
    </xf>
    <xf numFmtId="0" fontId="4" fillId="0" borderId="35" xfId="0" applyFont="1" applyBorder="1" applyAlignment="1">
      <alignment horizontal="right" vertical="center"/>
    </xf>
    <xf numFmtId="38" fontId="4" fillId="0" borderId="40" xfId="1" applyFont="1" applyBorder="1" applyAlignment="1">
      <alignment horizontal="right" vertical="center"/>
    </xf>
    <xf numFmtId="38" fontId="4" fillId="0" borderId="41" xfId="1" applyFont="1" applyBorder="1" applyAlignment="1">
      <alignment horizontal="right" vertical="center"/>
    </xf>
    <xf numFmtId="0" fontId="4" fillId="0" borderId="42"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65" xfId="0" applyFont="1" applyBorder="1" applyAlignment="1">
      <alignment horizontal="center" vertical="center"/>
    </xf>
    <xf numFmtId="0" fontId="4" fillId="0" borderId="29"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8" fillId="0" borderId="13" xfId="0" applyFont="1" applyBorder="1" applyAlignment="1">
      <alignment horizontal="left" vertical="top"/>
    </xf>
    <xf numFmtId="0" fontId="4" fillId="0" borderId="14" xfId="0" applyFont="1" applyBorder="1" applyAlignment="1">
      <alignment horizontal="left" vertical="top"/>
    </xf>
    <xf numFmtId="0" fontId="4" fillId="0" borderId="15" xfId="0" applyFont="1" applyBorder="1" applyAlignment="1">
      <alignment horizontal="left" vertical="top"/>
    </xf>
    <xf numFmtId="188" fontId="4" fillId="0" borderId="13" xfId="0" applyNumberFormat="1" applyFont="1" applyBorder="1" applyAlignment="1">
      <alignment horizontal="center" vertical="center"/>
    </xf>
    <xf numFmtId="188" fontId="4" fillId="0" borderId="14" xfId="0" applyNumberFormat="1" applyFont="1" applyBorder="1" applyAlignment="1">
      <alignment horizontal="center" vertical="center"/>
    </xf>
    <xf numFmtId="188" fontId="4" fillId="0" borderId="32" xfId="0" applyNumberFormat="1" applyFont="1" applyBorder="1" applyAlignment="1">
      <alignment horizontal="center" vertical="center"/>
    </xf>
    <xf numFmtId="188" fontId="4" fillId="0" borderId="11" xfId="0" applyNumberFormat="1" applyFont="1" applyBorder="1" applyAlignment="1">
      <alignment horizontal="center" vertical="center"/>
    </xf>
    <xf numFmtId="188" fontId="4" fillId="0" borderId="0" xfId="0" applyNumberFormat="1" applyFont="1" applyAlignment="1">
      <alignment horizontal="center" vertical="center"/>
    </xf>
    <xf numFmtId="188" fontId="4" fillId="0" borderId="38" xfId="0" applyNumberFormat="1" applyFont="1" applyBorder="1" applyAlignment="1">
      <alignment horizontal="center" vertical="center"/>
    </xf>
    <xf numFmtId="0" fontId="8" fillId="0" borderId="14" xfId="0" applyFont="1" applyBorder="1" applyAlignment="1">
      <alignment horizontal="left" vertical="top"/>
    </xf>
    <xf numFmtId="0" fontId="8" fillId="0" borderId="15" xfId="0" applyFont="1" applyBorder="1" applyAlignment="1">
      <alignment horizontal="left" vertical="top"/>
    </xf>
    <xf numFmtId="0" fontId="0" fillId="3" borderId="44" xfId="0" applyFill="1" applyBorder="1" applyAlignment="1">
      <alignment horizontal="center" vertical="center"/>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19" fillId="0" borderId="20" xfId="0" applyFont="1" applyBorder="1" applyAlignment="1">
      <alignment horizontal="left" vertical="center"/>
    </xf>
    <xf numFmtId="0" fontId="19" fillId="0" borderId="21" xfId="0" applyFont="1" applyBorder="1" applyAlignment="1">
      <alignment horizontal="left" vertical="center"/>
    </xf>
    <xf numFmtId="0" fontId="21" fillId="0" borderId="36" xfId="0" applyFont="1" applyBorder="1" applyAlignment="1">
      <alignment horizontal="left" vertical="center"/>
    </xf>
    <xf numFmtId="0" fontId="21" fillId="0" borderId="24" xfId="0" applyFont="1" applyBorder="1" applyAlignment="1">
      <alignment horizontal="left" vertical="center"/>
    </xf>
  </cellXfs>
  <cellStyles count="5">
    <cellStyle name="桁区切り" xfId="1" builtinId="6"/>
    <cellStyle name="桁区切り 2" xfId="4" xr:uid="{CC273CDD-60C5-46A9-BD16-BF5451CFA269}"/>
    <cellStyle name="通貨 2" xfId="3" xr:uid="{F4E2AA1C-4AF5-4F44-A74C-2D033EB81533}"/>
    <cellStyle name="標準" xfId="0" builtinId="0"/>
    <cellStyle name="標準 2" xfId="2" xr:uid="{0F6B75B6-45EF-4E65-A9DA-1AB8891131D0}"/>
  </cellStyles>
  <dxfs count="63">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5"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7</xdr:col>
      <xdr:colOff>142132</xdr:colOff>
      <xdr:row>3</xdr:row>
      <xdr:rowOff>112688</xdr:rowOff>
    </xdr:from>
    <xdr:to>
      <xdr:col>11</xdr:col>
      <xdr:colOff>10795</xdr:colOff>
      <xdr:row>7</xdr:row>
      <xdr:rowOff>266700</xdr:rowOff>
    </xdr:to>
    <xdr:sp macro="" textlink="" fLocksText="0">
      <xdr:nvSpPr>
        <xdr:cNvPr id="3" name="テキスト ボックス 2">
          <a:extLst>
            <a:ext uri="{FF2B5EF4-FFF2-40B4-BE49-F238E27FC236}">
              <a16:creationId xmlns:a16="http://schemas.microsoft.com/office/drawing/2014/main" id="{DE6CE1D4-3B8D-4689-AB53-A833D69F834A}"/>
            </a:ext>
          </a:extLst>
        </xdr:cNvPr>
        <xdr:cNvSpPr txBox="1"/>
      </xdr:nvSpPr>
      <xdr:spPr>
        <a:xfrm>
          <a:off x="3691782" y="1001688"/>
          <a:ext cx="2326113" cy="1462112"/>
        </a:xfrm>
        <a:prstGeom prst="rect">
          <a:avLst/>
        </a:prstGeom>
        <a:noFill/>
        <a:ln w="63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熊本県熊本市北区和泉町</a:t>
          </a:r>
          <a:r>
            <a:rPr kumimoji="1" lang="en-US" altLang="ja-JP" sz="1000">
              <a:solidFill>
                <a:schemeClr val="dk1"/>
              </a:solidFill>
              <a:effectLst/>
              <a:latin typeface="+mn-lt"/>
              <a:ea typeface="+mn-ea"/>
              <a:cs typeface="+mn-cs"/>
            </a:rPr>
            <a:t>189-24</a:t>
          </a:r>
          <a:endParaRPr lang="ja-JP" altLang="ja-JP" sz="1000">
            <a:effectLst/>
          </a:endParaRPr>
        </a:p>
        <a:p>
          <a:r>
            <a:rPr kumimoji="1" lang="ja-JP" altLang="en-US" sz="1000"/>
            <a:t>株式会社フードパル熊本</a:t>
          </a:r>
          <a:endParaRPr kumimoji="1" lang="en-US" altLang="ja-JP" sz="1000"/>
        </a:p>
        <a:p>
          <a:r>
            <a:rPr kumimoji="1" lang="ja-JP" altLang="en-US" sz="1000"/>
            <a:t>熊本市食品交流会館</a:t>
          </a:r>
          <a:r>
            <a:rPr kumimoji="1" lang="ja-JP" altLang="en-US" sz="1000" baseline="0"/>
            <a:t> </a:t>
          </a:r>
          <a:r>
            <a:rPr kumimoji="1" lang="ja-JP" altLang="en-US" sz="1000"/>
            <a:t>指定管理者</a:t>
          </a:r>
          <a:endParaRPr kumimoji="1" lang="en-US" altLang="ja-JP" sz="1000"/>
        </a:p>
        <a:p>
          <a:r>
            <a:rPr kumimoji="1" lang="ja-JP" altLang="en-US" sz="1000"/>
            <a:t>代表取締役　　毛利　浩一</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mn-lt"/>
              <a:ea typeface="+mn-ea"/>
              <a:cs typeface="+mn-cs"/>
            </a:rPr>
            <a:t>TEL</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096 - 245 - 5630 </a:t>
          </a:r>
          <a:r>
            <a:rPr kumimoji="1" lang="ja-JP" altLang="en-US" sz="900" baseline="0">
              <a:solidFill>
                <a:schemeClr val="dk1"/>
              </a:solidFill>
              <a:effectLst/>
              <a:latin typeface="+mn-lt"/>
              <a:ea typeface="+mn-ea"/>
              <a:cs typeface="+mn-cs"/>
            </a:rPr>
            <a:t>  </a:t>
          </a:r>
          <a:r>
            <a:rPr kumimoji="1" lang="en-US" altLang="ja-JP" sz="900">
              <a:solidFill>
                <a:schemeClr val="dk1"/>
              </a:solidFill>
              <a:effectLst/>
              <a:latin typeface="+mn-lt"/>
              <a:ea typeface="+mn-ea"/>
              <a:cs typeface="+mn-cs"/>
            </a:rPr>
            <a:t>FAX</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096 - 245 - 5575</a:t>
          </a:r>
          <a:endParaRPr lang="ja-JP" altLang="ja-JP" sz="1000">
            <a:effectLst/>
          </a:endParaRPr>
        </a:p>
        <a:p>
          <a:r>
            <a:rPr kumimoji="1" lang="ja-JP" altLang="en-US" sz="1000"/>
            <a:t>登録番号：</a:t>
          </a:r>
          <a:r>
            <a:rPr kumimoji="1" lang="en-US" altLang="ja-JP" sz="1000"/>
            <a:t>T7330001004010</a:t>
          </a:r>
        </a:p>
      </xdr:txBody>
    </xdr:sp>
    <xdr:clientData/>
  </xdr:twoCellAnchor>
  <xdr:twoCellAnchor editAs="absolute">
    <xdr:from>
      <xdr:col>2</xdr:col>
      <xdr:colOff>41841</xdr:colOff>
      <xdr:row>21</xdr:row>
      <xdr:rowOff>285274</xdr:rowOff>
    </xdr:from>
    <xdr:to>
      <xdr:col>5</xdr:col>
      <xdr:colOff>70259</xdr:colOff>
      <xdr:row>25</xdr:row>
      <xdr:rowOff>42879</xdr:rowOff>
    </xdr:to>
    <xdr:grpSp>
      <xdr:nvGrpSpPr>
        <xdr:cNvPr id="4" name="グループ化 3">
          <a:extLst>
            <a:ext uri="{FF2B5EF4-FFF2-40B4-BE49-F238E27FC236}">
              <a16:creationId xmlns:a16="http://schemas.microsoft.com/office/drawing/2014/main" id="{23402E2D-3F03-4BCF-A6A5-05250A47D487}"/>
            </a:ext>
          </a:extLst>
        </xdr:cNvPr>
        <xdr:cNvGrpSpPr/>
      </xdr:nvGrpSpPr>
      <xdr:grpSpPr>
        <a:xfrm>
          <a:off x="525935" y="6739862"/>
          <a:ext cx="2368206" cy="824405"/>
          <a:chOff x="481020" y="8624879"/>
          <a:chExt cx="2364750" cy="821230"/>
        </a:xfrm>
      </xdr:grpSpPr>
      <xdr:sp macro="" textlink="">
        <xdr:nvSpPr>
          <xdr:cNvPr id="5" name="テキスト ボックス 4">
            <a:extLst>
              <a:ext uri="{FF2B5EF4-FFF2-40B4-BE49-F238E27FC236}">
                <a16:creationId xmlns:a16="http://schemas.microsoft.com/office/drawing/2014/main" id="{4149AA6B-7D7B-8959-CCCC-BDEDFEF559E5}"/>
              </a:ext>
            </a:extLst>
          </xdr:cNvPr>
          <xdr:cNvSpPr txBox="1"/>
        </xdr:nvSpPr>
        <xdr:spPr>
          <a:xfrm>
            <a:off x="481020" y="8624879"/>
            <a:ext cx="1338828"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肥後銀行　池田支店</a:t>
            </a:r>
            <a:endParaRPr kumimoji="1" lang="en-US" altLang="ja-JP" sz="1000"/>
          </a:p>
        </xdr:txBody>
      </xdr:sp>
      <xdr:sp macro="" textlink="">
        <xdr:nvSpPr>
          <xdr:cNvPr id="6" name="テキスト ボックス 5">
            <a:extLst>
              <a:ext uri="{FF2B5EF4-FFF2-40B4-BE49-F238E27FC236}">
                <a16:creationId xmlns:a16="http://schemas.microsoft.com/office/drawing/2014/main" id="{F16FBD90-E62A-D076-4DE4-4BE034019ABF}"/>
              </a:ext>
            </a:extLst>
          </xdr:cNvPr>
          <xdr:cNvSpPr txBox="1"/>
        </xdr:nvSpPr>
        <xdr:spPr>
          <a:xfrm>
            <a:off x="481020" y="8796329"/>
            <a:ext cx="1280992"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普通口座　</a:t>
            </a:r>
            <a:r>
              <a:rPr kumimoji="1" lang="en-US" altLang="ja-JP" sz="1000"/>
              <a:t>0227106</a:t>
            </a:r>
          </a:p>
        </xdr:txBody>
      </xdr:sp>
      <xdr:sp macro="" textlink="">
        <xdr:nvSpPr>
          <xdr:cNvPr id="7" name="テキスト ボックス 6">
            <a:extLst>
              <a:ext uri="{FF2B5EF4-FFF2-40B4-BE49-F238E27FC236}">
                <a16:creationId xmlns:a16="http://schemas.microsoft.com/office/drawing/2014/main" id="{BF4AC28B-1864-A7DD-3004-795735094FD3}"/>
              </a:ext>
            </a:extLst>
          </xdr:cNvPr>
          <xdr:cNvSpPr txBox="1"/>
        </xdr:nvSpPr>
        <xdr:spPr>
          <a:xfrm>
            <a:off x="481020" y="8967779"/>
            <a:ext cx="223651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口座名義　株式会社フードパル熊本</a:t>
            </a:r>
            <a:endParaRPr kumimoji="1" lang="en-US" altLang="ja-JP" sz="1000"/>
          </a:p>
        </xdr:txBody>
      </xdr:sp>
      <xdr:sp macro="" textlink="">
        <xdr:nvSpPr>
          <xdr:cNvPr id="8" name="テキスト ボックス 7">
            <a:extLst>
              <a:ext uri="{FF2B5EF4-FFF2-40B4-BE49-F238E27FC236}">
                <a16:creationId xmlns:a16="http://schemas.microsoft.com/office/drawing/2014/main" id="{CE7F3507-EBE2-6B63-63FD-77BA72A688C9}"/>
              </a:ext>
            </a:extLst>
          </xdr:cNvPr>
          <xdr:cNvSpPr txBox="1"/>
        </xdr:nvSpPr>
        <xdr:spPr>
          <a:xfrm>
            <a:off x="481020" y="9139230"/>
            <a:ext cx="236475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　　　　　代表取締役　　毛利　浩一</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142132</xdr:colOff>
      <xdr:row>3</xdr:row>
      <xdr:rowOff>112688</xdr:rowOff>
    </xdr:from>
    <xdr:to>
      <xdr:col>11</xdr:col>
      <xdr:colOff>10795</xdr:colOff>
      <xdr:row>7</xdr:row>
      <xdr:rowOff>266700</xdr:rowOff>
    </xdr:to>
    <xdr:sp macro="" textlink="" fLocksText="0">
      <xdr:nvSpPr>
        <xdr:cNvPr id="3" name="テキスト ボックス 2">
          <a:extLst>
            <a:ext uri="{FF2B5EF4-FFF2-40B4-BE49-F238E27FC236}">
              <a16:creationId xmlns:a16="http://schemas.microsoft.com/office/drawing/2014/main" id="{577C35D3-597B-4FCE-8758-0001AB243620}"/>
            </a:ext>
          </a:extLst>
        </xdr:cNvPr>
        <xdr:cNvSpPr txBox="1"/>
      </xdr:nvSpPr>
      <xdr:spPr>
        <a:xfrm>
          <a:off x="3691782" y="1001688"/>
          <a:ext cx="2326113" cy="1462112"/>
        </a:xfrm>
        <a:prstGeom prst="rect">
          <a:avLst/>
        </a:prstGeom>
        <a:noFill/>
        <a:ln w="63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熊本県熊本市北区和泉町</a:t>
          </a:r>
          <a:r>
            <a:rPr kumimoji="1" lang="en-US" altLang="ja-JP" sz="1000">
              <a:solidFill>
                <a:schemeClr val="dk1"/>
              </a:solidFill>
              <a:effectLst/>
              <a:latin typeface="+mn-lt"/>
              <a:ea typeface="+mn-ea"/>
              <a:cs typeface="+mn-cs"/>
            </a:rPr>
            <a:t>189-24</a:t>
          </a:r>
          <a:endParaRPr lang="ja-JP" altLang="ja-JP" sz="1000">
            <a:effectLst/>
          </a:endParaRPr>
        </a:p>
        <a:p>
          <a:r>
            <a:rPr kumimoji="1" lang="ja-JP" altLang="en-US" sz="1000"/>
            <a:t>株式会社フードパル熊本</a:t>
          </a:r>
          <a:endParaRPr kumimoji="1" lang="en-US" altLang="ja-JP" sz="1000"/>
        </a:p>
        <a:p>
          <a:r>
            <a:rPr kumimoji="1" lang="ja-JP" altLang="en-US" sz="1000"/>
            <a:t>熊本市食品交流会館</a:t>
          </a:r>
          <a:r>
            <a:rPr kumimoji="1" lang="ja-JP" altLang="en-US" sz="1000" baseline="0"/>
            <a:t> </a:t>
          </a:r>
          <a:r>
            <a:rPr kumimoji="1" lang="ja-JP" altLang="en-US" sz="1000"/>
            <a:t>指定管理者</a:t>
          </a:r>
          <a:endParaRPr kumimoji="1" lang="en-US" altLang="ja-JP" sz="1000"/>
        </a:p>
        <a:p>
          <a:r>
            <a:rPr kumimoji="1" lang="ja-JP" altLang="en-US" sz="1000"/>
            <a:t>代表取締役　　毛利　浩一</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mn-lt"/>
              <a:ea typeface="+mn-ea"/>
              <a:cs typeface="+mn-cs"/>
            </a:rPr>
            <a:t>TEL</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096 - 245 - 5630 </a:t>
          </a:r>
          <a:r>
            <a:rPr kumimoji="1" lang="ja-JP" altLang="en-US" sz="900" baseline="0">
              <a:solidFill>
                <a:schemeClr val="dk1"/>
              </a:solidFill>
              <a:effectLst/>
              <a:latin typeface="+mn-lt"/>
              <a:ea typeface="+mn-ea"/>
              <a:cs typeface="+mn-cs"/>
            </a:rPr>
            <a:t>  </a:t>
          </a:r>
          <a:r>
            <a:rPr kumimoji="1" lang="en-US" altLang="ja-JP" sz="900">
              <a:solidFill>
                <a:schemeClr val="dk1"/>
              </a:solidFill>
              <a:effectLst/>
              <a:latin typeface="+mn-lt"/>
              <a:ea typeface="+mn-ea"/>
              <a:cs typeface="+mn-cs"/>
            </a:rPr>
            <a:t>FAX</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096 - 245 - 5575</a:t>
          </a:r>
          <a:endParaRPr lang="ja-JP" altLang="ja-JP" sz="1000">
            <a:effectLst/>
          </a:endParaRPr>
        </a:p>
        <a:p>
          <a:r>
            <a:rPr kumimoji="1" lang="ja-JP" altLang="en-US" sz="1000"/>
            <a:t>登録番号：</a:t>
          </a:r>
          <a:r>
            <a:rPr kumimoji="1" lang="en-US" altLang="ja-JP" sz="1000"/>
            <a:t>T7330001004010</a:t>
          </a:r>
        </a:p>
      </xdr:txBody>
    </xdr:sp>
    <xdr:clientData/>
  </xdr:twoCellAnchor>
  <xdr:twoCellAnchor editAs="absolute">
    <xdr:from>
      <xdr:col>2</xdr:col>
      <xdr:colOff>41841</xdr:colOff>
      <xdr:row>21</xdr:row>
      <xdr:rowOff>285274</xdr:rowOff>
    </xdr:from>
    <xdr:to>
      <xdr:col>5</xdr:col>
      <xdr:colOff>70259</xdr:colOff>
      <xdr:row>25</xdr:row>
      <xdr:rowOff>42879</xdr:rowOff>
    </xdr:to>
    <xdr:grpSp>
      <xdr:nvGrpSpPr>
        <xdr:cNvPr id="4" name="グループ化 3">
          <a:extLst>
            <a:ext uri="{FF2B5EF4-FFF2-40B4-BE49-F238E27FC236}">
              <a16:creationId xmlns:a16="http://schemas.microsoft.com/office/drawing/2014/main" id="{F0F8F0E3-1905-49CC-B6B8-F51BC3CC1246}"/>
            </a:ext>
          </a:extLst>
        </xdr:cNvPr>
        <xdr:cNvGrpSpPr/>
      </xdr:nvGrpSpPr>
      <xdr:grpSpPr>
        <a:xfrm>
          <a:off x="525935" y="6739862"/>
          <a:ext cx="2368206" cy="824405"/>
          <a:chOff x="481020" y="8624879"/>
          <a:chExt cx="2364750" cy="821230"/>
        </a:xfrm>
      </xdr:grpSpPr>
      <xdr:sp macro="" textlink="">
        <xdr:nvSpPr>
          <xdr:cNvPr id="5" name="テキスト ボックス 4">
            <a:extLst>
              <a:ext uri="{FF2B5EF4-FFF2-40B4-BE49-F238E27FC236}">
                <a16:creationId xmlns:a16="http://schemas.microsoft.com/office/drawing/2014/main" id="{E6C3A16E-2D17-A30E-006D-CA86213393D7}"/>
              </a:ext>
            </a:extLst>
          </xdr:cNvPr>
          <xdr:cNvSpPr txBox="1"/>
        </xdr:nvSpPr>
        <xdr:spPr>
          <a:xfrm>
            <a:off x="481020" y="8624879"/>
            <a:ext cx="1338828"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肥後銀行　池田支店</a:t>
            </a:r>
            <a:endParaRPr kumimoji="1" lang="en-US" altLang="ja-JP" sz="1000"/>
          </a:p>
        </xdr:txBody>
      </xdr:sp>
      <xdr:sp macro="" textlink="">
        <xdr:nvSpPr>
          <xdr:cNvPr id="6" name="テキスト ボックス 5">
            <a:extLst>
              <a:ext uri="{FF2B5EF4-FFF2-40B4-BE49-F238E27FC236}">
                <a16:creationId xmlns:a16="http://schemas.microsoft.com/office/drawing/2014/main" id="{66E02556-7DA5-FA75-C73F-13B9A2E50B3F}"/>
              </a:ext>
            </a:extLst>
          </xdr:cNvPr>
          <xdr:cNvSpPr txBox="1"/>
        </xdr:nvSpPr>
        <xdr:spPr>
          <a:xfrm>
            <a:off x="481020" y="8796329"/>
            <a:ext cx="1280992"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普通口座　</a:t>
            </a:r>
            <a:r>
              <a:rPr kumimoji="1" lang="en-US" altLang="ja-JP" sz="1000"/>
              <a:t>0227106</a:t>
            </a:r>
          </a:p>
        </xdr:txBody>
      </xdr:sp>
      <xdr:sp macro="" textlink="">
        <xdr:nvSpPr>
          <xdr:cNvPr id="7" name="テキスト ボックス 6">
            <a:extLst>
              <a:ext uri="{FF2B5EF4-FFF2-40B4-BE49-F238E27FC236}">
                <a16:creationId xmlns:a16="http://schemas.microsoft.com/office/drawing/2014/main" id="{2B25D87B-FFFC-11D8-6E5E-5D352C05F9AB}"/>
              </a:ext>
            </a:extLst>
          </xdr:cNvPr>
          <xdr:cNvSpPr txBox="1"/>
        </xdr:nvSpPr>
        <xdr:spPr>
          <a:xfrm>
            <a:off x="481020" y="8967779"/>
            <a:ext cx="223651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口座名義　株式会社フードパル熊本</a:t>
            </a:r>
            <a:endParaRPr kumimoji="1" lang="en-US" altLang="ja-JP" sz="1000"/>
          </a:p>
        </xdr:txBody>
      </xdr:sp>
      <xdr:sp macro="" textlink="">
        <xdr:nvSpPr>
          <xdr:cNvPr id="8" name="テキスト ボックス 7">
            <a:extLst>
              <a:ext uri="{FF2B5EF4-FFF2-40B4-BE49-F238E27FC236}">
                <a16:creationId xmlns:a16="http://schemas.microsoft.com/office/drawing/2014/main" id="{B2978765-7EDB-A655-63B2-83B0AB4CEFA7}"/>
              </a:ext>
            </a:extLst>
          </xdr:cNvPr>
          <xdr:cNvSpPr txBox="1"/>
        </xdr:nvSpPr>
        <xdr:spPr>
          <a:xfrm>
            <a:off x="481020" y="9139230"/>
            <a:ext cx="236475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　　　　　代表取締役　　毛利　浩一</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8E412-E6F1-46F1-9C65-E0F03D055AAE}">
  <sheetPr codeName="Sheet1">
    <tabColor rgb="FFFFC000"/>
  </sheetPr>
  <dimension ref="A1:F17"/>
  <sheetViews>
    <sheetView zoomScale="70" zoomScaleNormal="70" workbookViewId="0">
      <selection activeCell="A18" sqref="A18"/>
    </sheetView>
  </sheetViews>
  <sheetFormatPr defaultRowHeight="18"/>
  <cols>
    <col min="1" max="1" width="3.19921875" customWidth="1"/>
    <col min="2" max="2" width="22.296875" customWidth="1"/>
    <col min="6" max="6" width="22.296875" customWidth="1"/>
  </cols>
  <sheetData>
    <row r="1" spans="1:6" ht="30" customHeight="1">
      <c r="A1" s="1" t="s">
        <v>0</v>
      </c>
      <c r="B1" t="s">
        <v>1</v>
      </c>
    </row>
    <row r="2" spans="1:6" ht="30" customHeight="1">
      <c r="B2" s="6" t="s">
        <v>2</v>
      </c>
      <c r="C2" s="189" t="s">
        <v>3</v>
      </c>
      <c r="D2" s="190"/>
      <c r="E2" s="190"/>
      <c r="F2" s="191"/>
    </row>
    <row r="3" spans="1:6" ht="30" customHeight="1">
      <c r="B3" s="7" t="s">
        <v>4</v>
      </c>
      <c r="C3" s="192" t="s">
        <v>5</v>
      </c>
      <c r="D3" s="193"/>
      <c r="E3" s="193"/>
      <c r="F3" s="194"/>
    </row>
    <row r="4" spans="1:6" ht="30" customHeight="1">
      <c r="B4" s="8"/>
      <c r="C4" s="198"/>
      <c r="D4" s="199"/>
      <c r="E4" s="199"/>
      <c r="F4" s="200"/>
    </row>
    <row r="5" spans="1:6" ht="30" customHeight="1">
      <c r="B5" s="9"/>
      <c r="C5" s="201"/>
      <c r="D5" s="202"/>
      <c r="E5" s="202"/>
      <c r="F5" s="203"/>
    </row>
    <row r="6" spans="1:6" ht="30" customHeight="1">
      <c r="B6" s="6" t="s">
        <v>6</v>
      </c>
      <c r="C6" s="189" t="s">
        <v>7</v>
      </c>
      <c r="D6" s="190"/>
      <c r="E6" s="190"/>
      <c r="F6" s="191"/>
    </row>
    <row r="7" spans="1:6" ht="30" customHeight="1">
      <c r="B7" s="10" t="s">
        <v>8</v>
      </c>
      <c r="C7" s="189" t="s">
        <v>9</v>
      </c>
      <c r="D7" s="190"/>
      <c r="E7" s="190"/>
      <c r="F7" s="191"/>
    </row>
    <row r="8" spans="1:6" ht="30" customHeight="1">
      <c r="B8" s="4" t="s">
        <v>10</v>
      </c>
      <c r="C8" s="192" t="s">
        <v>11</v>
      </c>
      <c r="D8" s="193"/>
      <c r="E8" s="193"/>
      <c r="F8" s="194"/>
    </row>
    <row r="9" spans="1:6" ht="50.1" customHeight="1">
      <c r="B9" s="11"/>
      <c r="C9" s="195" t="s">
        <v>12</v>
      </c>
      <c r="D9" s="196"/>
      <c r="E9" s="196"/>
      <c r="F9" s="197"/>
    </row>
    <row r="10" spans="1:6" ht="30" customHeight="1">
      <c r="B10" s="11"/>
      <c r="C10" s="198" t="s">
        <v>13</v>
      </c>
      <c r="D10" s="199"/>
      <c r="E10" s="199"/>
      <c r="F10" s="200"/>
    </row>
    <row r="11" spans="1:6" ht="40.049999999999997" customHeight="1">
      <c r="B11" s="11"/>
      <c r="C11" s="195" t="s">
        <v>14</v>
      </c>
      <c r="D11" s="196"/>
      <c r="E11" s="196"/>
      <c r="F11" s="197"/>
    </row>
    <row r="12" spans="1:6" ht="50.1" customHeight="1">
      <c r="B12" s="11"/>
      <c r="C12" s="198" t="s">
        <v>15</v>
      </c>
      <c r="D12" s="199"/>
      <c r="E12" s="199"/>
      <c r="F12" s="200"/>
    </row>
    <row r="13" spans="1:6" ht="30" customHeight="1">
      <c r="A13" s="3"/>
      <c r="B13" s="12"/>
      <c r="C13" s="201" t="s">
        <v>16</v>
      </c>
      <c r="D13" s="202"/>
      <c r="E13" s="202"/>
      <c r="F13" s="203"/>
    </row>
    <row r="14" spans="1:6" ht="50.1" customHeight="1">
      <c r="A14" s="3"/>
      <c r="B14" s="13" t="s">
        <v>17</v>
      </c>
      <c r="C14" s="189" t="s">
        <v>18</v>
      </c>
      <c r="D14" s="190"/>
      <c r="E14" s="190"/>
      <c r="F14" s="191"/>
    </row>
    <row r="15" spans="1:6" ht="30" customHeight="1">
      <c r="B15" s="6" t="s">
        <v>19</v>
      </c>
      <c r="C15" s="189" t="s">
        <v>20</v>
      </c>
      <c r="D15" s="190"/>
      <c r="E15" s="190"/>
      <c r="F15" s="191"/>
    </row>
    <row r="16" spans="1:6" ht="30" customHeight="1">
      <c r="B16" s="6" t="s">
        <v>21</v>
      </c>
      <c r="C16" s="189" t="s">
        <v>22</v>
      </c>
      <c r="D16" s="190"/>
      <c r="E16" s="190"/>
      <c r="F16" s="191"/>
    </row>
    <row r="17" spans="2:6" ht="30" customHeight="1">
      <c r="B17" s="5"/>
      <c r="C17" s="3"/>
      <c r="D17" s="3"/>
      <c r="E17" s="3"/>
      <c r="F17" s="3"/>
    </row>
  </sheetData>
  <mergeCells count="13">
    <mergeCell ref="C2:F2"/>
    <mergeCell ref="C3:F5"/>
    <mergeCell ref="C6:F6"/>
    <mergeCell ref="C7:F7"/>
    <mergeCell ref="C14:F14"/>
    <mergeCell ref="C15:F15"/>
    <mergeCell ref="C16:F16"/>
    <mergeCell ref="C8:F8"/>
    <mergeCell ref="C9:F9"/>
    <mergeCell ref="C10:F10"/>
    <mergeCell ref="C11:F11"/>
    <mergeCell ref="C12:F12"/>
    <mergeCell ref="C13:F13"/>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5B82B-B6F3-412D-9DCF-4D87FE3989DD}">
  <sheetPr codeName="Sheet10">
    <tabColor rgb="FF0070C0"/>
  </sheetPr>
  <dimension ref="A1:J31"/>
  <sheetViews>
    <sheetView showGridLines="0" view="pageBreakPreview" topLeftCell="A16" zoomScale="85" zoomScaleNormal="85" zoomScaleSheetLayoutView="85" workbookViewId="0">
      <selection activeCell="B29" sqref="B29:D29"/>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157</v>
      </c>
    </row>
    <row r="2" spans="1:10" ht="33.6" customHeight="1">
      <c r="A2" s="291" t="s">
        <v>158</v>
      </c>
      <c r="B2" s="291"/>
      <c r="C2" s="291"/>
      <c r="D2" s="291"/>
      <c r="E2" s="291"/>
      <c r="F2" s="291"/>
      <c r="G2" s="291"/>
      <c r="H2" s="291"/>
      <c r="I2" s="291"/>
      <c r="J2" s="291"/>
    </row>
    <row r="3" spans="1:10" ht="22.5" customHeight="1">
      <c r="H3" s="293" t="s">
        <v>159</v>
      </c>
      <c r="I3" s="293"/>
      <c r="J3" s="293"/>
    </row>
    <row r="4" spans="1:10" ht="3" customHeight="1">
      <c r="H4" s="158"/>
      <c r="I4" s="158"/>
      <c r="J4" s="158"/>
    </row>
    <row r="6" spans="1:10" ht="21" customHeight="1">
      <c r="C6" s="294" t="s">
        <v>136</v>
      </c>
      <c r="D6" s="294"/>
      <c r="E6" s="293" t="str">
        <f>【入力様式】パーティールームA!C5</f>
        <v>○○市○○区○○町111-11</v>
      </c>
      <c r="F6" s="293"/>
      <c r="G6" s="293"/>
      <c r="H6" s="293"/>
      <c r="I6" s="293"/>
      <c r="J6" s="293"/>
    </row>
    <row r="7" spans="1:10" ht="21" customHeight="1">
      <c r="C7" s="294" t="s">
        <v>137</v>
      </c>
      <c r="D7" s="294"/>
      <c r="E7" s="293" t="str">
        <f>【入力様式】パーティールームA!C3</f>
        <v>■■■■株式会社</v>
      </c>
      <c r="F7" s="293"/>
      <c r="G7" s="293"/>
      <c r="H7" s="293"/>
      <c r="I7" s="293"/>
      <c r="J7" s="293"/>
    </row>
    <row r="8" spans="1:10" ht="21" customHeight="1">
      <c r="C8" s="294" t="s">
        <v>138</v>
      </c>
      <c r="D8" s="294"/>
      <c r="E8" s="293" t="str">
        <f>【入力様式】パーティールームA!C6</f>
        <v>△△　△△</v>
      </c>
      <c r="F8" s="293"/>
      <c r="G8" s="293"/>
      <c r="H8" s="293"/>
      <c r="I8" s="293"/>
      <c r="J8" s="293"/>
    </row>
    <row r="9" spans="1:10" ht="21" customHeight="1">
      <c r="C9" s="294" t="s">
        <v>160</v>
      </c>
      <c r="D9" s="294"/>
      <c r="E9" s="293"/>
      <c r="F9" s="293"/>
      <c r="G9" s="158"/>
      <c r="I9" s="293"/>
      <c r="J9" s="293"/>
    </row>
    <row r="11" spans="1:10" ht="19.05" customHeight="1">
      <c r="A11" s="289" t="s">
        <v>161</v>
      </c>
      <c r="B11" s="290"/>
      <c r="C11" s="290"/>
      <c r="D11" s="290"/>
      <c r="E11" s="290"/>
      <c r="F11" s="290"/>
      <c r="G11" s="290"/>
      <c r="H11" s="290"/>
      <c r="I11" s="290"/>
      <c r="J11" s="290"/>
    </row>
    <row r="12" spans="1:10" ht="19.05" customHeight="1">
      <c r="A12" s="290"/>
      <c r="B12" s="290"/>
      <c r="C12" s="290"/>
      <c r="D12" s="290"/>
      <c r="E12" s="290"/>
      <c r="F12" s="290"/>
      <c r="G12" s="290"/>
      <c r="H12" s="290"/>
      <c r="I12" s="290"/>
      <c r="J12" s="290"/>
    </row>
    <row r="14" spans="1:10" ht="44.55" customHeight="1">
      <c r="A14" s="34" t="s">
        <v>142</v>
      </c>
      <c r="B14" s="281" t="str">
        <f>【入力様式】パーティールームA!C10</f>
        <v>●●イベント</v>
      </c>
      <c r="C14" s="281"/>
      <c r="D14" s="281"/>
      <c r="E14" s="281"/>
      <c r="F14" s="281"/>
      <c r="G14" s="281"/>
      <c r="H14" s="281"/>
      <c r="I14" s="281"/>
      <c r="J14" s="282"/>
    </row>
    <row r="15" spans="1:10" ht="50.55" customHeight="1" thickBot="1">
      <c r="A15" s="34" t="s">
        <v>143</v>
      </c>
      <c r="B15" s="281" t="str">
        <f>【入力様式】パーティールームA!C11</f>
        <v>●●向けのイベントを開催する</v>
      </c>
      <c r="C15" s="281"/>
      <c r="D15" s="281"/>
      <c r="E15" s="281"/>
      <c r="F15" s="281"/>
      <c r="G15" s="281"/>
      <c r="H15" s="283"/>
      <c r="I15" s="283"/>
      <c r="J15" s="284"/>
    </row>
    <row r="16" spans="1:10" ht="28.05" customHeight="1">
      <c r="A16" s="34" t="s">
        <v>144</v>
      </c>
      <c r="B16" s="285" t="s">
        <v>145</v>
      </c>
      <c r="C16" s="281"/>
      <c r="D16" s="281"/>
      <c r="E16" s="281"/>
      <c r="F16" s="281"/>
      <c r="G16" s="281"/>
      <c r="H16" s="286" t="s">
        <v>146</v>
      </c>
      <c r="I16" s="287"/>
      <c r="J16" s="288"/>
    </row>
    <row r="17" spans="1:10" ht="20.55" customHeight="1">
      <c r="A17" s="262" t="s">
        <v>147</v>
      </c>
      <c r="B17" s="264">
        <f>'【営利用】様式第2号(申請書)※入力不要 '!B17</f>
        <v>0</v>
      </c>
      <c r="C17" s="265"/>
      <c r="D17" s="265"/>
      <c r="E17" s="265"/>
      <c r="F17" s="265"/>
      <c r="G17" s="265"/>
      <c r="H17" s="267">
        <f>'【営利用】様式第2号(申請書)※入力不要 '!H17</f>
        <v>0</v>
      </c>
      <c r="I17" s="268"/>
      <c r="J17" s="271" t="s">
        <v>119</v>
      </c>
    </row>
    <row r="18" spans="1:10" ht="20.55" customHeight="1">
      <c r="A18" s="263"/>
      <c r="B18" s="298">
        <f>'【営利用】様式第2号(申請書)※入力不要 '!B18</f>
        <v>0</v>
      </c>
      <c r="C18" s="299"/>
      <c r="D18" s="299"/>
      <c r="E18" s="299"/>
      <c r="F18" s="299"/>
      <c r="G18" s="300"/>
      <c r="H18" s="269"/>
      <c r="I18" s="270"/>
      <c r="J18" s="272"/>
    </row>
    <row r="19" spans="1:10" ht="20.55" customHeight="1">
      <c r="A19" s="262" t="s">
        <v>147</v>
      </c>
      <c r="B19" s="264">
        <f>'【営利用】様式第2号(申請書)※入力不要 '!B19</f>
        <v>0</v>
      </c>
      <c r="C19" s="265"/>
      <c r="D19" s="265"/>
      <c r="E19" s="265"/>
      <c r="F19" s="265"/>
      <c r="G19" s="266"/>
      <c r="H19" s="267">
        <f>'【営利用】様式第2号(申請書)※入力不要 '!H19</f>
        <v>0</v>
      </c>
      <c r="I19" s="268"/>
      <c r="J19" s="271" t="s">
        <v>119</v>
      </c>
    </row>
    <row r="20" spans="1:10" ht="20.55" customHeight="1">
      <c r="A20" s="263"/>
      <c r="B20" s="301">
        <f>'【営利用】様式第2号(申請書)※入力不要 '!B20</f>
        <v>0</v>
      </c>
      <c r="C20" s="302"/>
      <c r="D20" s="302"/>
      <c r="E20" s="302"/>
      <c r="F20" s="302"/>
      <c r="G20" s="302"/>
      <c r="H20" s="269"/>
      <c r="I20" s="270"/>
      <c r="J20" s="272"/>
    </row>
    <row r="21" spans="1:10" ht="20.55" customHeight="1">
      <c r="A21" s="262" t="s">
        <v>147</v>
      </c>
      <c r="B21" s="264">
        <f>'【営利用】様式第2号(申請書)※入力不要 '!B21</f>
        <v>0</v>
      </c>
      <c r="C21" s="265"/>
      <c r="D21" s="265"/>
      <c r="E21" s="265"/>
      <c r="F21" s="265"/>
      <c r="G21" s="265"/>
      <c r="H21" s="267">
        <f>'【営利用】様式第2号(申請書)※入力不要 '!H21</f>
        <v>0</v>
      </c>
      <c r="I21" s="268"/>
      <c r="J21" s="271" t="s">
        <v>119</v>
      </c>
    </row>
    <row r="22" spans="1:10" ht="20.55" customHeight="1">
      <c r="A22" s="263"/>
      <c r="B22" s="298">
        <f>'【営利用】様式第2号(申請書)※入力不要 '!B22</f>
        <v>0</v>
      </c>
      <c r="C22" s="299"/>
      <c r="D22" s="299"/>
      <c r="E22" s="299"/>
      <c r="F22" s="299"/>
      <c r="G22" s="300"/>
      <c r="H22" s="269"/>
      <c r="I22" s="270"/>
      <c r="J22" s="272"/>
    </row>
    <row r="23" spans="1:10" ht="20.55" customHeight="1">
      <c r="A23" s="262" t="s">
        <v>147</v>
      </c>
      <c r="B23" s="264">
        <f>'【営利用】様式第2号(申請書)※入力不要 '!B23</f>
        <v>0</v>
      </c>
      <c r="C23" s="265"/>
      <c r="D23" s="265"/>
      <c r="E23" s="265"/>
      <c r="F23" s="265"/>
      <c r="G23" s="265"/>
      <c r="H23" s="267">
        <f>'【営利用】様式第2号(申請書)※入力不要 '!H23</f>
        <v>0</v>
      </c>
      <c r="I23" s="268"/>
      <c r="J23" s="271" t="s">
        <v>119</v>
      </c>
    </row>
    <row r="24" spans="1:10" ht="20.55" customHeight="1">
      <c r="A24" s="263"/>
      <c r="B24" s="298">
        <f>'【営利用】様式第2号(申請書)※入力不要 '!B24</f>
        <v>0</v>
      </c>
      <c r="C24" s="299"/>
      <c r="D24" s="299"/>
      <c r="E24" s="299"/>
      <c r="F24" s="299"/>
      <c r="G24" s="300"/>
      <c r="H24" s="269"/>
      <c r="I24" s="270"/>
      <c r="J24" s="272"/>
    </row>
    <row r="25" spans="1:10" ht="20.55" customHeight="1">
      <c r="A25" s="262" t="s">
        <v>147</v>
      </c>
      <c r="B25" s="264">
        <f>'【営利用】様式第2号(申請書)※入力不要 '!B25</f>
        <v>0</v>
      </c>
      <c r="C25" s="265"/>
      <c r="D25" s="265"/>
      <c r="E25" s="265"/>
      <c r="F25" s="265"/>
      <c r="G25" s="266"/>
      <c r="H25" s="267">
        <f>'【営利用】様式第2号(申請書)※入力不要 '!H25</f>
        <v>0</v>
      </c>
      <c r="I25" s="268"/>
      <c r="J25" s="271" t="s">
        <v>119</v>
      </c>
    </row>
    <row r="26" spans="1:10" ht="20.55" customHeight="1" thickBot="1">
      <c r="A26" s="263"/>
      <c r="B26" s="301">
        <f>'【営利用】様式第2号(申請書)※入力不要 '!B26</f>
        <v>0</v>
      </c>
      <c r="C26" s="302"/>
      <c r="D26" s="302"/>
      <c r="E26" s="302"/>
      <c r="F26" s="302"/>
      <c r="G26" s="302"/>
      <c r="H26" s="278"/>
      <c r="I26" s="279"/>
      <c r="J26" s="280"/>
    </row>
    <row r="27" spans="1:10" ht="31.5" customHeight="1" thickBot="1">
      <c r="A27" s="159" t="s">
        <v>148</v>
      </c>
      <c r="B27" s="276">
        <f>【入力様式】パーティールームA!C15</f>
        <v>0</v>
      </c>
      <c r="C27" s="277"/>
      <c r="D27" s="277"/>
      <c r="E27" s="35" t="s">
        <v>149</v>
      </c>
      <c r="F27" s="157" t="s">
        <v>121</v>
      </c>
      <c r="G27" s="41">
        <v>1</v>
      </c>
      <c r="H27" s="33" t="s">
        <v>150</v>
      </c>
      <c r="I27" s="158">
        <v>2</v>
      </c>
      <c r="J27" s="160" t="s">
        <v>151</v>
      </c>
    </row>
    <row r="28" spans="1:10" ht="31.5" customHeight="1">
      <c r="A28" s="161" t="s">
        <v>152</v>
      </c>
      <c r="B28" s="252">
        <f>'【営利用】様式第2号(申請書)※入力不要 '!B28</f>
        <v>0</v>
      </c>
      <c r="C28" s="253"/>
      <c r="D28" s="253"/>
      <c r="E28" s="37" t="s">
        <v>119</v>
      </c>
      <c r="F28" s="38" t="s">
        <v>153</v>
      </c>
      <c r="G28" s="254"/>
      <c r="H28" s="255"/>
      <c r="I28" s="255"/>
      <c r="J28" s="162" t="s">
        <v>119</v>
      </c>
    </row>
    <row r="29" spans="1:10" ht="31.5" customHeight="1" thickBot="1">
      <c r="A29" s="163" t="s">
        <v>154</v>
      </c>
      <c r="B29" s="256">
        <f>'【営利用】様式第2号(申請書)※入力不要 '!B29</f>
        <v>0</v>
      </c>
      <c r="C29" s="257"/>
      <c r="D29" s="257"/>
      <c r="E29" s="36" t="s">
        <v>119</v>
      </c>
      <c r="F29" s="164"/>
      <c r="G29" s="258"/>
      <c r="H29" s="258"/>
      <c r="I29" s="258"/>
      <c r="J29" s="165"/>
    </row>
    <row r="30" spans="1:10" ht="64.05" customHeight="1">
      <c r="A30" s="39" t="s">
        <v>155</v>
      </c>
      <c r="B30" s="295" t="s">
        <v>163</v>
      </c>
      <c r="C30" s="304"/>
      <c r="D30" s="304"/>
      <c r="E30" s="304"/>
      <c r="F30" s="304"/>
      <c r="G30" s="304"/>
      <c r="H30" s="304"/>
      <c r="I30" s="304"/>
      <c r="J30" s="305"/>
    </row>
    <row r="31" spans="1:10" ht="17.100000000000001" customHeight="1">
      <c r="A31" s="40" t="s">
        <v>156</v>
      </c>
    </row>
  </sheetData>
  <mergeCells count="47">
    <mergeCell ref="A11:J12"/>
    <mergeCell ref="A2:J2"/>
    <mergeCell ref="H3:J3"/>
    <mergeCell ref="C6:D6"/>
    <mergeCell ref="E6:J6"/>
    <mergeCell ref="C7:D7"/>
    <mergeCell ref="E7:J7"/>
    <mergeCell ref="C8:D8"/>
    <mergeCell ref="E8:J8"/>
    <mergeCell ref="C9:D9"/>
    <mergeCell ref="E9:F9"/>
    <mergeCell ref="I9:J9"/>
    <mergeCell ref="B14:J14"/>
    <mergeCell ref="B15:J15"/>
    <mergeCell ref="B16:G16"/>
    <mergeCell ref="H16:J16"/>
    <mergeCell ref="A17:A18"/>
    <mergeCell ref="B17:G17"/>
    <mergeCell ref="H17:I18"/>
    <mergeCell ref="J17:J18"/>
    <mergeCell ref="B18:G18"/>
    <mergeCell ref="A21:A22"/>
    <mergeCell ref="B21:G21"/>
    <mergeCell ref="H21:I22"/>
    <mergeCell ref="J21:J22"/>
    <mergeCell ref="B22:G22"/>
    <mergeCell ref="A19:A20"/>
    <mergeCell ref="B19:G19"/>
    <mergeCell ref="H19:I20"/>
    <mergeCell ref="J19:J20"/>
    <mergeCell ref="B20:G20"/>
    <mergeCell ref="B30:J30"/>
    <mergeCell ref="A23:A24"/>
    <mergeCell ref="B23:G23"/>
    <mergeCell ref="H23:I24"/>
    <mergeCell ref="J23:J24"/>
    <mergeCell ref="B24:G24"/>
    <mergeCell ref="A25:A26"/>
    <mergeCell ref="B25:G25"/>
    <mergeCell ref="H25:I26"/>
    <mergeCell ref="J25:J26"/>
    <mergeCell ref="B26:G26"/>
    <mergeCell ref="B27:D27"/>
    <mergeCell ref="B28:D28"/>
    <mergeCell ref="G28:I28"/>
    <mergeCell ref="B29:D29"/>
    <mergeCell ref="G29:I29"/>
  </mergeCells>
  <phoneticPr fontId="2"/>
  <conditionalFormatting sqref="B17:G26">
    <cfRule type="expression" dxfId="5" priority="15">
      <formula>$B$17=DATE(1900,1,0)</formula>
    </cfRule>
  </conditionalFormatting>
  <conditionalFormatting sqref="H19">
    <cfRule type="expression" dxfId="4" priority="1">
      <formula>$H$19=0</formula>
    </cfRule>
  </conditionalFormatting>
  <conditionalFormatting sqref="H21">
    <cfRule type="expression" dxfId="3" priority="2">
      <formula>$H$21=0</formula>
    </cfRule>
  </conditionalFormatting>
  <conditionalFormatting sqref="H23">
    <cfRule type="expression" dxfId="2" priority="3">
      <formula>$H$23=0</formula>
    </cfRule>
  </conditionalFormatting>
  <conditionalFormatting sqref="H25">
    <cfRule type="expression" dxfId="1" priority="4">
      <formula>$H$25=0</formula>
    </cfRule>
  </conditionalFormatting>
  <conditionalFormatting sqref="H17:I18">
    <cfRule type="expression" dxfId="0" priority="5">
      <formula>$H$17=0</formula>
    </cfRule>
  </conditionalFormatting>
  <pageMargins left="0.7" right="0.4" top="0.75" bottom="0.46" header="0.3" footer="0.3"/>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C65F-7A87-4A6E-ADB1-75C950C5E2F5}">
  <sheetPr codeName="Sheet8">
    <tabColor theme="1" tint="0.499984740745262"/>
  </sheetPr>
  <dimension ref="B1:S60"/>
  <sheetViews>
    <sheetView topLeftCell="A32" zoomScale="55" zoomScaleNormal="55" workbookViewId="0">
      <selection activeCell="R44" sqref="R44:S53"/>
    </sheetView>
  </sheetViews>
  <sheetFormatPr defaultRowHeight="18"/>
  <cols>
    <col min="7" max="7" width="12.59765625" bestFit="1" customWidth="1"/>
    <col min="8" max="8" width="11" bestFit="1" customWidth="1"/>
    <col min="9" max="9" width="15.09765625" bestFit="1" customWidth="1"/>
    <col min="10" max="10" width="19.09765625" bestFit="1" customWidth="1"/>
    <col min="11" max="12" width="16.5" bestFit="1" customWidth="1"/>
    <col min="13" max="13" width="11" bestFit="1" customWidth="1"/>
    <col min="14" max="15" width="18.5" bestFit="1" customWidth="1"/>
    <col min="16" max="16" width="12.796875" bestFit="1" customWidth="1"/>
    <col min="18" max="18" width="43.09765625" customWidth="1"/>
    <col min="19" max="19" width="8.59765625" style="14"/>
  </cols>
  <sheetData>
    <row r="1" spans="2:19">
      <c r="G1" s="15"/>
      <c r="H1" s="15" t="s">
        <v>164</v>
      </c>
      <c r="I1" s="15" t="s">
        <v>165</v>
      </c>
      <c r="J1" s="15" t="s">
        <v>166</v>
      </c>
      <c r="K1" s="15" t="s">
        <v>167</v>
      </c>
      <c r="L1" s="15" t="s">
        <v>168</v>
      </c>
      <c r="M1" s="15" t="s">
        <v>169</v>
      </c>
      <c r="N1" s="15" t="s">
        <v>147</v>
      </c>
      <c r="O1" s="15" t="s">
        <v>170</v>
      </c>
      <c r="P1" s="15" t="s">
        <v>171</v>
      </c>
      <c r="R1" t="s">
        <v>172</v>
      </c>
    </row>
    <row r="2" spans="2:19">
      <c r="B2" t="s">
        <v>173</v>
      </c>
      <c r="G2" s="15" t="s">
        <v>174</v>
      </c>
      <c r="H2" s="16">
        <v>0</v>
      </c>
      <c r="I2" s="16">
        <v>0</v>
      </c>
      <c r="J2" s="16">
        <v>0</v>
      </c>
      <c r="K2" s="16">
        <v>0</v>
      </c>
      <c r="L2" s="16">
        <v>0</v>
      </c>
      <c r="M2" s="16">
        <v>0</v>
      </c>
      <c r="N2" s="16">
        <v>0</v>
      </c>
      <c r="O2" s="16">
        <v>0</v>
      </c>
      <c r="P2" s="16">
        <v>0</v>
      </c>
      <c r="R2" t="s">
        <v>175</v>
      </c>
    </row>
    <row r="3" spans="2:19">
      <c r="B3" t="s">
        <v>176</v>
      </c>
      <c r="C3" t="s">
        <v>177</v>
      </c>
      <c r="D3" t="s">
        <v>178</v>
      </c>
      <c r="E3" t="s">
        <v>179</v>
      </c>
      <c r="F3">
        <v>1</v>
      </c>
      <c r="G3" s="15" t="s">
        <v>180</v>
      </c>
      <c r="H3" s="16">
        <f>3360+7000</f>
        <v>10360</v>
      </c>
      <c r="I3" s="16">
        <f>5040+10500</f>
        <v>15540</v>
      </c>
      <c r="J3" s="16">
        <f>2400+5000</f>
        <v>7400</v>
      </c>
      <c r="K3" s="16">
        <f>1350+2800</f>
        <v>4150</v>
      </c>
      <c r="L3" s="16">
        <f>1050+2200</f>
        <v>3250</v>
      </c>
      <c r="M3" s="16">
        <f>720+1500</f>
        <v>2220</v>
      </c>
      <c r="N3" s="16">
        <f>1110+2300</f>
        <v>3410</v>
      </c>
      <c r="O3" s="16">
        <f>840+1700</f>
        <v>2540</v>
      </c>
      <c r="P3" s="16">
        <v>15000</v>
      </c>
      <c r="R3" s="15" t="s">
        <v>181</v>
      </c>
      <c r="S3" s="16">
        <v>1000</v>
      </c>
    </row>
    <row r="4" spans="2:19">
      <c r="B4" t="s">
        <v>182</v>
      </c>
      <c r="C4" t="s">
        <v>183</v>
      </c>
      <c r="E4" t="s">
        <v>184</v>
      </c>
      <c r="F4">
        <v>2</v>
      </c>
      <c r="G4" s="15" t="s">
        <v>185</v>
      </c>
      <c r="H4" s="16">
        <f>3360+7000+2333</f>
        <v>12693</v>
      </c>
      <c r="I4" s="16">
        <f>5040+10500+3500</f>
        <v>19040</v>
      </c>
      <c r="J4" s="16">
        <f>2400+5000+1666</f>
        <v>9066</v>
      </c>
      <c r="K4" s="16">
        <f>1350+2800+933</f>
        <v>5083</v>
      </c>
      <c r="L4" s="16">
        <f>1050+2200+733</f>
        <v>3983</v>
      </c>
      <c r="M4" s="16">
        <f>720+1500+500</f>
        <v>2720</v>
      </c>
      <c r="N4" s="16">
        <f>1110+2300+766</f>
        <v>4176</v>
      </c>
      <c r="O4" s="16">
        <f>840+1700+566</f>
        <v>3106</v>
      </c>
      <c r="P4" s="16">
        <v>15000</v>
      </c>
      <c r="R4" s="15" t="s">
        <v>186</v>
      </c>
      <c r="S4" s="16">
        <v>1000</v>
      </c>
    </row>
    <row r="5" spans="2:19">
      <c r="E5" t="s">
        <v>187</v>
      </c>
      <c r="F5">
        <v>3</v>
      </c>
      <c r="G5" s="15" t="s">
        <v>188</v>
      </c>
      <c r="H5" s="16">
        <f>3360+7000+9300</f>
        <v>19660</v>
      </c>
      <c r="I5" s="16">
        <f>5040+10500+14000</f>
        <v>29540</v>
      </c>
      <c r="J5" s="16">
        <f>2400+5000+6700</f>
        <v>14100</v>
      </c>
      <c r="K5" s="16">
        <f>1350+2800+3800</f>
        <v>7950</v>
      </c>
      <c r="L5" s="16">
        <f>1050+2200+2900</f>
        <v>6150</v>
      </c>
      <c r="M5" s="16">
        <f>720+1500+2000</f>
        <v>4220</v>
      </c>
      <c r="N5" s="16">
        <f>1110+2300+3100</f>
        <v>6510</v>
      </c>
      <c r="O5" s="16">
        <f>840+1700+2300</f>
        <v>4840</v>
      </c>
      <c r="P5" s="16">
        <v>15000</v>
      </c>
      <c r="R5" s="15" t="s">
        <v>189</v>
      </c>
      <c r="S5" s="16">
        <v>1500</v>
      </c>
    </row>
    <row r="6" spans="2:19">
      <c r="E6" t="s">
        <v>190</v>
      </c>
      <c r="F6">
        <v>4</v>
      </c>
      <c r="G6" s="15" t="s">
        <v>191</v>
      </c>
      <c r="H6" s="16">
        <f>3360+7000+9300+2325</f>
        <v>21985</v>
      </c>
      <c r="I6" s="16">
        <f>5040+10500+14000+3500</f>
        <v>33040</v>
      </c>
      <c r="J6" s="16">
        <f>2400+5000+6700+1675</f>
        <v>15775</v>
      </c>
      <c r="K6" s="16">
        <f>1350+2800+3800+950</f>
        <v>8900</v>
      </c>
      <c r="L6" s="16">
        <f>1050+2200+2900+725</f>
        <v>6875</v>
      </c>
      <c r="M6" s="16">
        <f>720+1500+2000+500</f>
        <v>4720</v>
      </c>
      <c r="N6" s="16">
        <f>1110+2300+3100+775</f>
        <v>7285</v>
      </c>
      <c r="O6" s="16">
        <f>840+1700+2300+575</f>
        <v>5415</v>
      </c>
      <c r="P6" s="16">
        <v>15000</v>
      </c>
      <c r="R6" s="15" t="s">
        <v>69</v>
      </c>
      <c r="S6" s="16">
        <v>1000</v>
      </c>
    </row>
    <row r="7" spans="2:19">
      <c r="E7" t="s">
        <v>192</v>
      </c>
      <c r="F7">
        <v>5</v>
      </c>
      <c r="G7" s="15" t="s">
        <v>193</v>
      </c>
      <c r="H7" s="16">
        <f>3360+7000+9300+11200</f>
        <v>30860</v>
      </c>
      <c r="I7" s="16">
        <f>5040+10500+14000+16800</f>
        <v>46340</v>
      </c>
      <c r="J7" s="16">
        <f>2400+5000+6700+8000</f>
        <v>22100</v>
      </c>
      <c r="K7" s="16">
        <f>1350+2800+3800+8000</f>
        <v>15950</v>
      </c>
      <c r="L7" s="16">
        <f>1050+2200+2900+3500</f>
        <v>9650</v>
      </c>
      <c r="M7" s="16">
        <f>720+1500+2000+2400</f>
        <v>6620</v>
      </c>
      <c r="N7" s="16">
        <f>1110+2300+3100+3700</f>
        <v>10210</v>
      </c>
      <c r="O7" s="16">
        <f>840+1700+2300+2800</f>
        <v>7640</v>
      </c>
      <c r="P7" s="16">
        <v>15000</v>
      </c>
      <c r="R7" s="15" t="s">
        <v>194</v>
      </c>
      <c r="S7" s="16">
        <v>1000</v>
      </c>
    </row>
    <row r="8" spans="2:19">
      <c r="E8" t="s">
        <v>195</v>
      </c>
      <c r="F8">
        <v>6</v>
      </c>
      <c r="G8" s="15" t="s">
        <v>196</v>
      </c>
      <c r="H8" s="16">
        <f>7000</f>
        <v>7000</v>
      </c>
      <c r="I8" s="16">
        <f>10500</f>
        <v>10500</v>
      </c>
      <c r="J8" s="16">
        <f>5000</f>
        <v>5000</v>
      </c>
      <c r="K8" s="16">
        <f>2800</f>
        <v>2800</v>
      </c>
      <c r="L8" s="16">
        <f>2200</f>
        <v>2200</v>
      </c>
      <c r="M8" s="16">
        <f>1500</f>
        <v>1500</v>
      </c>
      <c r="N8" s="16">
        <f>2300</f>
        <v>2300</v>
      </c>
      <c r="O8" s="16">
        <f>1700</f>
        <v>1700</v>
      </c>
      <c r="P8" s="16">
        <v>15000</v>
      </c>
      <c r="R8" s="15" t="s">
        <v>197</v>
      </c>
      <c r="S8" s="16">
        <v>1000</v>
      </c>
    </row>
    <row r="9" spans="2:19">
      <c r="E9" t="s">
        <v>198</v>
      </c>
      <c r="F9">
        <v>7</v>
      </c>
      <c r="G9" s="15" t="s">
        <v>199</v>
      </c>
      <c r="H9" s="16">
        <f>7000+2333</f>
        <v>9333</v>
      </c>
      <c r="I9" s="16">
        <f>10500+3500</f>
        <v>14000</v>
      </c>
      <c r="J9" s="16">
        <f>5000+1666</f>
        <v>6666</v>
      </c>
      <c r="K9" s="16">
        <f>2800+933</f>
        <v>3733</v>
      </c>
      <c r="L9" s="16">
        <f>2200+733</f>
        <v>2933</v>
      </c>
      <c r="M9" s="16">
        <f>1500+500</f>
        <v>2000</v>
      </c>
      <c r="N9" s="16">
        <f>2300+766</f>
        <v>3066</v>
      </c>
      <c r="O9" s="16">
        <f>1700+566</f>
        <v>2266</v>
      </c>
      <c r="P9" s="16">
        <v>15000</v>
      </c>
      <c r="R9" s="15" t="s">
        <v>200</v>
      </c>
      <c r="S9" s="16">
        <v>1000</v>
      </c>
    </row>
    <row r="10" spans="2:19">
      <c r="E10" t="s">
        <v>201</v>
      </c>
      <c r="F10">
        <v>8</v>
      </c>
      <c r="G10" s="15" t="s">
        <v>202</v>
      </c>
      <c r="H10" s="16">
        <f>7000+9300</f>
        <v>16300</v>
      </c>
      <c r="I10" s="16">
        <f>10500+14000</f>
        <v>24500</v>
      </c>
      <c r="J10" s="16">
        <f>5000+6700</f>
        <v>11700</v>
      </c>
      <c r="K10" s="16">
        <f>2800+3800</f>
        <v>6600</v>
      </c>
      <c r="L10" s="16">
        <f>2200+2900</f>
        <v>5100</v>
      </c>
      <c r="M10" s="16">
        <f>1500+2000</f>
        <v>3500</v>
      </c>
      <c r="N10" s="16">
        <f>2300+3100</f>
        <v>5400</v>
      </c>
      <c r="O10" s="16">
        <f>1700+2300</f>
        <v>4000</v>
      </c>
      <c r="P10" s="16">
        <v>15000</v>
      </c>
      <c r="R10" s="15" t="s">
        <v>203</v>
      </c>
      <c r="S10" s="16">
        <v>1000</v>
      </c>
    </row>
    <row r="11" spans="2:19">
      <c r="E11" t="s">
        <v>204</v>
      </c>
      <c r="F11">
        <v>9</v>
      </c>
      <c r="G11" s="15" t="s">
        <v>205</v>
      </c>
      <c r="H11" s="16">
        <f>7000+9300+2325</f>
        <v>18625</v>
      </c>
      <c r="I11" s="16">
        <f>10500+14000+3500</f>
        <v>28000</v>
      </c>
      <c r="J11" s="16">
        <f>5000+6700+1675</f>
        <v>13375</v>
      </c>
      <c r="K11" s="16">
        <f>2800+3800+950</f>
        <v>7550</v>
      </c>
      <c r="L11" s="16">
        <f>2200+2900+725</f>
        <v>5825</v>
      </c>
      <c r="M11" s="16">
        <f>1500+2000+500</f>
        <v>4000</v>
      </c>
      <c r="N11" s="16">
        <f>2300+3100+775</f>
        <v>6175</v>
      </c>
      <c r="O11" s="16">
        <f>1700+2300+575</f>
        <v>4575</v>
      </c>
      <c r="P11" s="16">
        <v>15000</v>
      </c>
      <c r="R11" s="15" t="s">
        <v>206</v>
      </c>
      <c r="S11" s="16">
        <v>100</v>
      </c>
    </row>
    <row r="12" spans="2:19">
      <c r="E12" t="s">
        <v>207</v>
      </c>
      <c r="F12">
        <v>10</v>
      </c>
      <c r="G12" s="15" t="s">
        <v>208</v>
      </c>
      <c r="H12" s="16">
        <f>7000+9300+11200</f>
        <v>27500</v>
      </c>
      <c r="I12" s="16">
        <f>10500+14000+16800</f>
        <v>41300</v>
      </c>
      <c r="J12" s="16">
        <f>5000+6700+8000</f>
        <v>19700</v>
      </c>
      <c r="K12" s="16">
        <f>2800+3800+4500</f>
        <v>11100</v>
      </c>
      <c r="L12" s="16">
        <f>2200+2900+3500</f>
        <v>8600</v>
      </c>
      <c r="M12" s="16">
        <f>1500+2000+2400</f>
        <v>5900</v>
      </c>
      <c r="N12" s="16">
        <f>2300+3100+3700</f>
        <v>9100</v>
      </c>
      <c r="O12" s="16">
        <f>1700+2300+2800</f>
        <v>6800</v>
      </c>
      <c r="P12" s="16">
        <v>15000</v>
      </c>
      <c r="R12" s="15" t="s">
        <v>77</v>
      </c>
      <c r="S12" s="16">
        <v>1000</v>
      </c>
    </row>
    <row r="13" spans="2:19">
      <c r="E13" t="s">
        <v>209</v>
      </c>
      <c r="F13">
        <v>11</v>
      </c>
      <c r="G13" s="15" t="s">
        <v>210</v>
      </c>
      <c r="H13" s="16">
        <f>2325+9300</f>
        <v>11625</v>
      </c>
      <c r="I13" s="16">
        <f>3500+14000</f>
        <v>17500</v>
      </c>
      <c r="J13" s="16">
        <f>1675+6700</f>
        <v>8375</v>
      </c>
      <c r="K13" s="16">
        <f>950+3800</f>
        <v>4750</v>
      </c>
      <c r="L13" s="16">
        <f>725+2900</f>
        <v>3625</v>
      </c>
      <c r="M13" s="16">
        <f>500+2000</f>
        <v>2500</v>
      </c>
      <c r="N13" s="16">
        <f>775+3100</f>
        <v>3875</v>
      </c>
      <c r="O13" s="16">
        <f>575+2300</f>
        <v>2875</v>
      </c>
      <c r="P13" s="16">
        <v>15000</v>
      </c>
      <c r="R13" s="15" t="s">
        <v>211</v>
      </c>
      <c r="S13" s="16">
        <v>2000</v>
      </c>
    </row>
    <row r="14" spans="2:19">
      <c r="E14" t="s">
        <v>212</v>
      </c>
      <c r="F14">
        <v>12</v>
      </c>
      <c r="G14" s="15" t="s">
        <v>213</v>
      </c>
      <c r="H14" s="16">
        <f>2325+9300+2325</f>
        <v>13950</v>
      </c>
      <c r="I14" s="16">
        <f>3500+14000+3500</f>
        <v>21000</v>
      </c>
      <c r="J14" s="16">
        <f>1675+6700+1675</f>
        <v>10050</v>
      </c>
      <c r="K14" s="16">
        <f>950+3800+950</f>
        <v>5700</v>
      </c>
      <c r="L14" s="16">
        <f>725+2900+725</f>
        <v>4350</v>
      </c>
      <c r="M14" s="16">
        <f>500+2000+500</f>
        <v>3000</v>
      </c>
      <c r="N14" s="16">
        <f>775+3100+775</f>
        <v>4650</v>
      </c>
      <c r="O14" s="16">
        <f>575+2300+575</f>
        <v>3450</v>
      </c>
      <c r="P14" s="16">
        <v>15000</v>
      </c>
      <c r="R14" s="15"/>
      <c r="S14" s="16"/>
    </row>
    <row r="15" spans="2:19">
      <c r="E15" t="s">
        <v>214</v>
      </c>
      <c r="F15">
        <v>13</v>
      </c>
      <c r="G15" s="15" t="s">
        <v>215</v>
      </c>
      <c r="H15" s="16">
        <f>2325+9300+11200</f>
        <v>22825</v>
      </c>
      <c r="I15" s="16">
        <f>3500+14000+16800</f>
        <v>34300</v>
      </c>
      <c r="J15" s="16">
        <f>1675+6700+8000</f>
        <v>16375</v>
      </c>
      <c r="K15" s="16">
        <f>950+3800+4500</f>
        <v>9250</v>
      </c>
      <c r="L15" s="16">
        <f>725+2900+3500</f>
        <v>7125</v>
      </c>
      <c r="M15" s="16">
        <f>500+2000+2400</f>
        <v>4900</v>
      </c>
      <c r="N15" s="16">
        <f>775+3100+3700</f>
        <v>7575</v>
      </c>
      <c r="O15" s="16">
        <f>575+2300+2800</f>
        <v>5675</v>
      </c>
      <c r="P15" s="16">
        <v>15000</v>
      </c>
      <c r="R15" s="15"/>
      <c r="S15" s="16"/>
    </row>
    <row r="16" spans="2:19">
      <c r="E16" t="s">
        <v>216</v>
      </c>
      <c r="F16">
        <v>14</v>
      </c>
      <c r="G16" s="15" t="s">
        <v>217</v>
      </c>
      <c r="H16" s="16">
        <f>9300</f>
        <v>9300</v>
      </c>
      <c r="I16" s="16">
        <f>14000</f>
        <v>14000</v>
      </c>
      <c r="J16" s="16">
        <f>6700</f>
        <v>6700</v>
      </c>
      <c r="K16" s="16">
        <f>3800</f>
        <v>3800</v>
      </c>
      <c r="L16" s="16">
        <f>2900</f>
        <v>2900</v>
      </c>
      <c r="M16" s="16">
        <f>2000</f>
        <v>2000</v>
      </c>
      <c r="N16" s="16">
        <f>3100</f>
        <v>3100</v>
      </c>
      <c r="O16" s="16">
        <f>2300</f>
        <v>2300</v>
      </c>
      <c r="P16" s="16">
        <v>15000</v>
      </c>
      <c r="R16" s="15"/>
      <c r="S16" s="16"/>
    </row>
    <row r="17" spans="5:19">
      <c r="E17" t="s">
        <v>218</v>
      </c>
      <c r="F17">
        <v>15</v>
      </c>
      <c r="G17" s="15" t="s">
        <v>219</v>
      </c>
      <c r="H17" s="16">
        <f>9300+2325</f>
        <v>11625</v>
      </c>
      <c r="I17" s="16">
        <f>14000+3500</f>
        <v>17500</v>
      </c>
      <c r="J17" s="16">
        <f>6700+1675</f>
        <v>8375</v>
      </c>
      <c r="K17" s="16">
        <f>3800+950</f>
        <v>4750</v>
      </c>
      <c r="L17" s="16">
        <f>2900+725</f>
        <v>3625</v>
      </c>
      <c r="M17" s="16">
        <f>2000+500</f>
        <v>2500</v>
      </c>
      <c r="N17" s="16">
        <f>3100+775</f>
        <v>3875</v>
      </c>
      <c r="O17" s="16">
        <f>2300+575</f>
        <v>2875</v>
      </c>
      <c r="P17" s="16">
        <v>15000</v>
      </c>
      <c r="R17" s="15"/>
      <c r="S17" s="16"/>
    </row>
    <row r="18" spans="5:19">
      <c r="E18" t="s">
        <v>220</v>
      </c>
      <c r="F18">
        <v>16</v>
      </c>
      <c r="G18" s="15" t="s">
        <v>221</v>
      </c>
      <c r="H18" s="16">
        <f>9300+11200</f>
        <v>20500</v>
      </c>
      <c r="I18" s="16">
        <f>14000+16800</f>
        <v>30800</v>
      </c>
      <c r="J18" s="16">
        <f>6700+8000</f>
        <v>14700</v>
      </c>
      <c r="K18" s="16">
        <f>3800+4500</f>
        <v>8300</v>
      </c>
      <c r="L18" s="16">
        <f>2900+3500</f>
        <v>6400</v>
      </c>
      <c r="M18" s="16">
        <f>2000+2400</f>
        <v>4400</v>
      </c>
      <c r="N18" s="16">
        <f>3100+3700</f>
        <v>6800</v>
      </c>
      <c r="O18" s="16">
        <f>2300+2800</f>
        <v>5100</v>
      </c>
      <c r="P18" s="16">
        <v>15000</v>
      </c>
    </row>
    <row r="19" spans="5:19">
      <c r="E19" t="s">
        <v>222</v>
      </c>
      <c r="F19">
        <v>17</v>
      </c>
      <c r="G19" s="15" t="s">
        <v>223</v>
      </c>
      <c r="H19" s="16">
        <f>3200+11200</f>
        <v>14400</v>
      </c>
      <c r="I19" s="16">
        <f>4800+16800</f>
        <v>21600</v>
      </c>
      <c r="J19" s="16">
        <f>2285+8000</f>
        <v>10285</v>
      </c>
      <c r="K19" s="16">
        <f>1285+4500</f>
        <v>5785</v>
      </c>
      <c r="L19" s="16">
        <f>1000+3500</f>
        <v>4500</v>
      </c>
      <c r="M19" s="16">
        <f>685+2400</f>
        <v>3085</v>
      </c>
      <c r="N19" s="16">
        <f>1057+3700</f>
        <v>4757</v>
      </c>
      <c r="O19" s="16">
        <f>800+2800</f>
        <v>3600</v>
      </c>
      <c r="P19" s="16">
        <v>15000</v>
      </c>
    </row>
    <row r="20" spans="5:19">
      <c r="E20" t="s">
        <v>224</v>
      </c>
      <c r="F20">
        <v>18</v>
      </c>
      <c r="G20" s="15" t="s">
        <v>225</v>
      </c>
      <c r="H20" s="16">
        <f>11200</f>
        <v>11200</v>
      </c>
      <c r="I20" s="16">
        <f>16800</f>
        <v>16800</v>
      </c>
      <c r="J20" s="16">
        <f>8000</f>
        <v>8000</v>
      </c>
      <c r="K20" s="16">
        <f>4500</f>
        <v>4500</v>
      </c>
      <c r="L20" s="16">
        <f>3500</f>
        <v>3500</v>
      </c>
      <c r="M20" s="16">
        <f>2400</f>
        <v>2400</v>
      </c>
      <c r="N20" s="16">
        <f>3700</f>
        <v>3700</v>
      </c>
      <c r="O20" s="16">
        <f>2800</f>
        <v>2800</v>
      </c>
      <c r="P20" s="16">
        <v>15000</v>
      </c>
      <c r="R20" t="s">
        <v>226</v>
      </c>
    </row>
    <row r="21" spans="5:19">
      <c r="E21" t="s">
        <v>227</v>
      </c>
      <c r="F21">
        <v>19</v>
      </c>
      <c r="G21" s="15"/>
      <c r="H21" s="15"/>
      <c r="I21" s="15"/>
      <c r="J21" s="15"/>
      <c r="K21" s="15"/>
      <c r="L21" s="15"/>
      <c r="M21" s="15"/>
      <c r="N21" s="15"/>
      <c r="O21" s="15"/>
      <c r="P21" s="15"/>
      <c r="R21" s="15" t="s">
        <v>200</v>
      </c>
      <c r="S21" s="16">
        <v>1000</v>
      </c>
    </row>
    <row r="22" spans="5:19">
      <c r="E22" t="s">
        <v>228</v>
      </c>
      <c r="F22">
        <v>20</v>
      </c>
      <c r="G22" s="15" t="s">
        <v>174</v>
      </c>
      <c r="H22" s="16">
        <v>0</v>
      </c>
      <c r="I22" s="16">
        <v>0</v>
      </c>
      <c r="J22" s="16">
        <v>0</v>
      </c>
      <c r="K22" s="16">
        <v>0</v>
      </c>
      <c r="L22" s="16">
        <v>0</v>
      </c>
      <c r="M22" s="16">
        <v>0</v>
      </c>
      <c r="N22" s="16">
        <v>0</v>
      </c>
      <c r="O22" s="16">
        <v>0</v>
      </c>
      <c r="P22" s="16">
        <v>0</v>
      </c>
      <c r="R22" s="15" t="s">
        <v>229</v>
      </c>
      <c r="S22" s="16">
        <v>1000</v>
      </c>
    </row>
    <row r="23" spans="5:19">
      <c r="E23" t="s">
        <v>230</v>
      </c>
      <c r="F23">
        <v>21</v>
      </c>
      <c r="G23" s="15" t="s">
        <v>180</v>
      </c>
      <c r="H23" s="16">
        <f>3360+14000</f>
        <v>17360</v>
      </c>
      <c r="I23" s="16">
        <f>5040+21000</f>
        <v>26040</v>
      </c>
      <c r="J23" s="16">
        <f>2400+10000</f>
        <v>12400</v>
      </c>
      <c r="K23" s="16">
        <f>1350+5600</f>
        <v>6950</v>
      </c>
      <c r="L23" s="16">
        <f>1050+4400</f>
        <v>5450</v>
      </c>
      <c r="M23" s="16">
        <f>720+3000</f>
        <v>3720</v>
      </c>
      <c r="N23" s="16">
        <f>1110+4600</f>
        <v>5710</v>
      </c>
      <c r="O23" s="16">
        <f>840+3400</f>
        <v>4240</v>
      </c>
      <c r="P23" s="16">
        <v>30000</v>
      </c>
      <c r="R23" s="15" t="s">
        <v>69</v>
      </c>
      <c r="S23" s="16">
        <v>1000</v>
      </c>
    </row>
    <row r="24" spans="5:19">
      <c r="E24" t="s">
        <v>231</v>
      </c>
      <c r="F24">
        <v>22</v>
      </c>
      <c r="G24" s="15" t="s">
        <v>185</v>
      </c>
      <c r="H24" s="16">
        <f>3360+14000+2333</f>
        <v>19693</v>
      </c>
      <c r="I24" s="16">
        <f>5040+21000+3500</f>
        <v>29540</v>
      </c>
      <c r="J24" s="16">
        <f>2400+10000+1666</f>
        <v>14066</v>
      </c>
      <c r="K24" s="16">
        <f>1350+5600+933</f>
        <v>7883</v>
      </c>
      <c r="L24" s="16">
        <f>1050+4400+733</f>
        <v>6183</v>
      </c>
      <c r="M24" s="16">
        <f>720+3000+500</f>
        <v>4220</v>
      </c>
      <c r="N24" s="16">
        <f>1110+4600+766</f>
        <v>6476</v>
      </c>
      <c r="O24" s="16">
        <f>840+3400+566</f>
        <v>4806</v>
      </c>
      <c r="P24" s="16">
        <v>30000</v>
      </c>
      <c r="R24" s="15" t="s">
        <v>232</v>
      </c>
      <c r="S24" s="16">
        <v>1000</v>
      </c>
    </row>
    <row r="25" spans="5:19">
      <c r="E25" t="s">
        <v>233</v>
      </c>
      <c r="F25">
        <v>23</v>
      </c>
      <c r="G25" s="15" t="s">
        <v>188</v>
      </c>
      <c r="H25" s="16">
        <f>3360+14000+18600</f>
        <v>35960</v>
      </c>
      <c r="I25" s="16">
        <f>5040+21000+28000</f>
        <v>54040</v>
      </c>
      <c r="J25" s="16">
        <f>2400+10000+13400</f>
        <v>25800</v>
      </c>
      <c r="K25" s="16">
        <f>1350+5600+7600</f>
        <v>14550</v>
      </c>
      <c r="L25" s="16">
        <f>1050+4400+5800</f>
        <v>11250</v>
      </c>
      <c r="M25" s="16">
        <f>720+3000+4000</f>
        <v>7720</v>
      </c>
      <c r="N25" s="16">
        <f>1110+4600+6200</f>
        <v>11910</v>
      </c>
      <c r="O25" s="16">
        <f>840+3400+4600</f>
        <v>8840</v>
      </c>
      <c r="P25" s="16">
        <v>30000</v>
      </c>
      <c r="R25" s="15" t="s">
        <v>234</v>
      </c>
      <c r="S25" s="16">
        <v>1000</v>
      </c>
    </row>
    <row r="26" spans="5:19">
      <c r="E26" t="s">
        <v>235</v>
      </c>
      <c r="F26">
        <v>24</v>
      </c>
      <c r="G26" s="15" t="s">
        <v>191</v>
      </c>
      <c r="H26" s="16">
        <f>3360+14000+18600+2325</f>
        <v>38285</v>
      </c>
      <c r="I26" s="16">
        <f>5040+21000+28000+3500</f>
        <v>57540</v>
      </c>
      <c r="J26" s="16">
        <f>2400+10000+13400+1675</f>
        <v>27475</v>
      </c>
      <c r="K26" s="16">
        <f>1350+5600+7600+950</f>
        <v>15500</v>
      </c>
      <c r="L26" s="16">
        <f>1050+4400+5800+725</f>
        <v>11975</v>
      </c>
      <c r="M26" s="16">
        <f>720+3000+4000+500</f>
        <v>8220</v>
      </c>
      <c r="N26" s="16">
        <f>1110+4600+6200+775</f>
        <v>12685</v>
      </c>
      <c r="O26" s="16">
        <f>840+3400+4600+575</f>
        <v>9415</v>
      </c>
      <c r="P26" s="16">
        <v>30000</v>
      </c>
      <c r="R26" s="15" t="s">
        <v>77</v>
      </c>
      <c r="S26" s="16">
        <v>1000</v>
      </c>
    </row>
    <row r="27" spans="5:19">
      <c r="G27" s="15" t="s">
        <v>193</v>
      </c>
      <c r="H27" s="16">
        <f>3360+14000+18600+22400</f>
        <v>58360</v>
      </c>
      <c r="I27" s="16">
        <f>5040+21000+28000+33600</f>
        <v>87640</v>
      </c>
      <c r="J27" s="16">
        <f>2400+10000+13400+16000</f>
        <v>41800</v>
      </c>
      <c r="K27" s="16">
        <f>1350+5600+7600+9000</f>
        <v>23550</v>
      </c>
      <c r="L27" s="16">
        <f>1050+4400+5800+7000</f>
        <v>18250</v>
      </c>
      <c r="M27" s="16">
        <f>720+3000+4000+4800</f>
        <v>12520</v>
      </c>
      <c r="N27" s="16">
        <f>1110+4600+6200+7400</f>
        <v>19310</v>
      </c>
      <c r="O27" s="16">
        <f>840+3400+4600+5600</f>
        <v>14440</v>
      </c>
      <c r="P27" s="16">
        <v>30000</v>
      </c>
      <c r="R27" s="15"/>
      <c r="S27" s="16"/>
    </row>
    <row r="28" spans="5:19">
      <c r="G28" s="15" t="s">
        <v>196</v>
      </c>
      <c r="H28" s="16">
        <f>14000</f>
        <v>14000</v>
      </c>
      <c r="I28" s="16">
        <f>21000</f>
        <v>21000</v>
      </c>
      <c r="J28" s="16">
        <f>10000</f>
        <v>10000</v>
      </c>
      <c r="K28" s="16">
        <f>5600</f>
        <v>5600</v>
      </c>
      <c r="L28" s="16">
        <f>4400</f>
        <v>4400</v>
      </c>
      <c r="M28" s="16">
        <f>3000</f>
        <v>3000</v>
      </c>
      <c r="N28" s="16">
        <f>4600</f>
        <v>4600</v>
      </c>
      <c r="O28" s="16">
        <f>3400</f>
        <v>3400</v>
      </c>
      <c r="P28" s="16">
        <v>30000</v>
      </c>
      <c r="R28" s="15"/>
      <c r="S28" s="16"/>
    </row>
    <row r="29" spans="5:19">
      <c r="G29" s="15" t="s">
        <v>199</v>
      </c>
      <c r="H29" s="16">
        <f>14000+2333</f>
        <v>16333</v>
      </c>
      <c r="I29" s="16">
        <f>21000+3500</f>
        <v>24500</v>
      </c>
      <c r="J29" s="16">
        <f>10000+1666</f>
        <v>11666</v>
      </c>
      <c r="K29" s="16">
        <f>5600+933</f>
        <v>6533</v>
      </c>
      <c r="L29" s="16">
        <f>4400+733</f>
        <v>5133</v>
      </c>
      <c r="M29" s="16">
        <f>3000+500</f>
        <v>3500</v>
      </c>
      <c r="N29" s="16">
        <f>4600+766</f>
        <v>5366</v>
      </c>
      <c r="O29" s="16">
        <f>3400+566</f>
        <v>3966</v>
      </c>
      <c r="P29" s="16">
        <v>30000</v>
      </c>
      <c r="R29" s="15"/>
      <c r="S29" s="16"/>
    </row>
    <row r="30" spans="5:19">
      <c r="G30" s="15" t="s">
        <v>202</v>
      </c>
      <c r="H30" s="16">
        <f>14000+18600</f>
        <v>32600</v>
      </c>
      <c r="I30" s="16">
        <f>21000+28000</f>
        <v>49000</v>
      </c>
      <c r="J30" s="16">
        <f>10000+13400</f>
        <v>23400</v>
      </c>
      <c r="K30" s="16">
        <f>5600+7600</f>
        <v>13200</v>
      </c>
      <c r="L30" s="16">
        <f>4400+5800</f>
        <v>10200</v>
      </c>
      <c r="M30" s="16">
        <f>3000+4000</f>
        <v>7000</v>
      </c>
      <c r="N30" s="16">
        <f>4600+6200</f>
        <v>10800</v>
      </c>
      <c r="O30" s="16">
        <f>3400+4600</f>
        <v>8000</v>
      </c>
      <c r="P30" s="16">
        <v>30000</v>
      </c>
    </row>
    <row r="31" spans="5:19">
      <c r="G31" s="15" t="s">
        <v>205</v>
      </c>
      <c r="H31" s="16">
        <f>14000+18600+2325</f>
        <v>34925</v>
      </c>
      <c r="I31" s="16">
        <f>21000+28000+3500</f>
        <v>52500</v>
      </c>
      <c r="J31" s="16">
        <f>10000+13400+1675</f>
        <v>25075</v>
      </c>
      <c r="K31" s="16">
        <f>5600+7600+950</f>
        <v>14150</v>
      </c>
      <c r="L31" s="16">
        <f>4400+5800+725</f>
        <v>10925</v>
      </c>
      <c r="M31" s="16">
        <f>3000+4000+500</f>
        <v>7500</v>
      </c>
      <c r="N31" s="16">
        <f>4600+6200+775</f>
        <v>11575</v>
      </c>
      <c r="O31" s="16">
        <f>3400+4600+575</f>
        <v>8575</v>
      </c>
      <c r="P31" s="16">
        <v>30000</v>
      </c>
    </row>
    <row r="32" spans="5:19">
      <c r="G32" s="15" t="s">
        <v>208</v>
      </c>
      <c r="H32" s="16">
        <f>14000+18600+22400</f>
        <v>55000</v>
      </c>
      <c r="I32" s="16">
        <f>21000+28000+33600</f>
        <v>82600</v>
      </c>
      <c r="J32" s="16">
        <f>10000+13400+16000</f>
        <v>39400</v>
      </c>
      <c r="K32" s="16">
        <f>5600+7600+9000</f>
        <v>22200</v>
      </c>
      <c r="L32" s="16">
        <f>4400+5800+7000</f>
        <v>17200</v>
      </c>
      <c r="M32" s="16">
        <f>3000+4000+4800</f>
        <v>11800</v>
      </c>
      <c r="N32" s="16">
        <f>4600+6200+7400</f>
        <v>18200</v>
      </c>
      <c r="O32" s="16">
        <f>3400+4600+5600</f>
        <v>13600</v>
      </c>
      <c r="P32" s="16">
        <v>30000</v>
      </c>
      <c r="R32" t="s">
        <v>236</v>
      </c>
    </row>
    <row r="33" spans="7:19">
      <c r="G33" s="15" t="s">
        <v>210</v>
      </c>
      <c r="H33" s="16">
        <f>2325+18600</f>
        <v>20925</v>
      </c>
      <c r="I33" s="16">
        <f>3500+28000</f>
        <v>31500</v>
      </c>
      <c r="J33" s="16">
        <f>1675+13400</f>
        <v>15075</v>
      </c>
      <c r="K33" s="16">
        <f>950+7600</f>
        <v>8550</v>
      </c>
      <c r="L33" s="16">
        <f>725+5800</f>
        <v>6525</v>
      </c>
      <c r="M33" s="16">
        <f>500+4000</f>
        <v>4500</v>
      </c>
      <c r="N33" s="16">
        <f>775+6200</f>
        <v>6975</v>
      </c>
      <c r="O33" s="16">
        <f>575+4600</f>
        <v>5175</v>
      </c>
      <c r="P33" s="16">
        <v>30000</v>
      </c>
      <c r="R33" s="15" t="s">
        <v>66</v>
      </c>
      <c r="S33" s="16">
        <v>1000</v>
      </c>
    </row>
    <row r="34" spans="7:19">
      <c r="G34" s="15" t="s">
        <v>213</v>
      </c>
      <c r="H34" s="16">
        <f>2325+18600+2325</f>
        <v>23250</v>
      </c>
      <c r="I34" s="16">
        <f>3500+28000+3500</f>
        <v>35000</v>
      </c>
      <c r="J34" s="16">
        <f>1675+13400+1675</f>
        <v>16750</v>
      </c>
      <c r="K34" s="16">
        <f>950+7600+950</f>
        <v>9500</v>
      </c>
      <c r="L34" s="16">
        <f>725+5800+725</f>
        <v>7250</v>
      </c>
      <c r="M34" s="16">
        <f>500+4000+500</f>
        <v>5000</v>
      </c>
      <c r="N34" s="16">
        <f>775+6200+775</f>
        <v>7750</v>
      </c>
      <c r="O34" s="16">
        <f>575+4600+575</f>
        <v>5750</v>
      </c>
      <c r="P34" s="16">
        <v>30000</v>
      </c>
      <c r="R34" s="15" t="s">
        <v>69</v>
      </c>
      <c r="S34" s="16">
        <v>1000</v>
      </c>
    </row>
    <row r="35" spans="7:19">
      <c r="G35" s="15" t="s">
        <v>215</v>
      </c>
      <c r="H35" s="16">
        <f>2325+18600+22400</f>
        <v>43325</v>
      </c>
      <c r="I35" s="16">
        <f>3500+28000+33600</f>
        <v>65100</v>
      </c>
      <c r="J35" s="16">
        <f>1675+13400+16000</f>
        <v>31075</v>
      </c>
      <c r="K35" s="16">
        <f>950+7600+9000</f>
        <v>17550</v>
      </c>
      <c r="L35" s="16">
        <f>725+5800+7000</f>
        <v>13525</v>
      </c>
      <c r="M35" s="16">
        <f>500+4000+4800</f>
        <v>9300</v>
      </c>
      <c r="N35" s="16">
        <f>775+6200+7400</f>
        <v>14375</v>
      </c>
      <c r="O35" s="16">
        <f>575+4600+5600</f>
        <v>10775</v>
      </c>
      <c r="P35" s="16">
        <v>30000</v>
      </c>
      <c r="R35" s="15" t="s">
        <v>232</v>
      </c>
      <c r="S35" s="16">
        <v>1000</v>
      </c>
    </row>
    <row r="36" spans="7:19">
      <c r="G36" s="15" t="s">
        <v>217</v>
      </c>
      <c r="H36" s="16">
        <f>18600</f>
        <v>18600</v>
      </c>
      <c r="I36" s="16">
        <f>28000</f>
        <v>28000</v>
      </c>
      <c r="J36" s="16">
        <f>13400</f>
        <v>13400</v>
      </c>
      <c r="K36" s="16">
        <f>7600</f>
        <v>7600</v>
      </c>
      <c r="L36" s="16">
        <f>5800</f>
        <v>5800</v>
      </c>
      <c r="M36" s="16">
        <f>4000</f>
        <v>4000</v>
      </c>
      <c r="N36" s="16">
        <f>6200</f>
        <v>6200</v>
      </c>
      <c r="O36" s="16">
        <f>4600</f>
        <v>4600</v>
      </c>
      <c r="P36" s="16">
        <v>30000</v>
      </c>
      <c r="R36" s="15" t="s">
        <v>234</v>
      </c>
      <c r="S36" s="16">
        <v>1000</v>
      </c>
    </row>
    <row r="37" spans="7:19">
      <c r="G37" s="15" t="s">
        <v>219</v>
      </c>
      <c r="H37" s="16">
        <f>18600+2325</f>
        <v>20925</v>
      </c>
      <c r="I37" s="16">
        <f>28000+3500</f>
        <v>31500</v>
      </c>
      <c r="J37" s="16">
        <f>13400+1675</f>
        <v>15075</v>
      </c>
      <c r="K37" s="16">
        <f>7600+950</f>
        <v>8550</v>
      </c>
      <c r="L37" s="16">
        <f>5800+725</f>
        <v>6525</v>
      </c>
      <c r="M37" s="16">
        <f>4000+500</f>
        <v>4500</v>
      </c>
      <c r="N37" s="16">
        <f>6200+775</f>
        <v>6975</v>
      </c>
      <c r="O37" s="16">
        <f>4600+575</f>
        <v>5175</v>
      </c>
      <c r="P37" s="16">
        <v>30000</v>
      </c>
      <c r="R37" s="15" t="s">
        <v>77</v>
      </c>
      <c r="S37" s="16">
        <v>1000</v>
      </c>
    </row>
    <row r="38" spans="7:19">
      <c r="G38" s="15" t="s">
        <v>221</v>
      </c>
      <c r="H38" s="16">
        <f>18600+22400</f>
        <v>41000</v>
      </c>
      <c r="I38" s="16">
        <f>28000+33600</f>
        <v>61600</v>
      </c>
      <c r="J38" s="16">
        <f>13400+16000</f>
        <v>29400</v>
      </c>
      <c r="K38" s="16">
        <f>7600+9000</f>
        <v>16600</v>
      </c>
      <c r="L38" s="16">
        <f>5800+7000</f>
        <v>12800</v>
      </c>
      <c r="M38" s="16">
        <f>4000+4800</f>
        <v>8800</v>
      </c>
      <c r="N38" s="16">
        <f>6200+7400</f>
        <v>13600</v>
      </c>
      <c r="O38" s="16">
        <f>4600+5600</f>
        <v>10200</v>
      </c>
      <c r="P38" s="16">
        <v>30000</v>
      </c>
      <c r="R38" s="15"/>
      <c r="S38" s="16"/>
    </row>
    <row r="39" spans="7:19">
      <c r="G39" s="15" t="s">
        <v>223</v>
      </c>
      <c r="H39" s="16">
        <f>3200+22400</f>
        <v>25600</v>
      </c>
      <c r="I39" s="16">
        <f>4800+33600</f>
        <v>38400</v>
      </c>
      <c r="J39" s="16">
        <f>2285+16000</f>
        <v>18285</v>
      </c>
      <c r="K39" s="16">
        <f>1285+9000</f>
        <v>10285</v>
      </c>
      <c r="L39" s="16">
        <f>1000+7000</f>
        <v>8000</v>
      </c>
      <c r="M39" s="16">
        <f>685+4800</f>
        <v>5485</v>
      </c>
      <c r="N39" s="16">
        <f>1057+7400</f>
        <v>8457</v>
      </c>
      <c r="O39" s="16">
        <f>800+5600</f>
        <v>6400</v>
      </c>
      <c r="P39" s="16">
        <v>30000</v>
      </c>
      <c r="R39" s="15"/>
      <c r="S39" s="16"/>
    </row>
    <row r="40" spans="7:19">
      <c r="G40" s="15" t="s">
        <v>225</v>
      </c>
      <c r="H40" s="16">
        <f>22400</f>
        <v>22400</v>
      </c>
      <c r="I40" s="16">
        <f>33600</f>
        <v>33600</v>
      </c>
      <c r="J40" s="16">
        <f>16000</f>
        <v>16000</v>
      </c>
      <c r="K40" s="16">
        <f>9000</f>
        <v>9000</v>
      </c>
      <c r="L40" s="16">
        <f>7000</f>
        <v>7000</v>
      </c>
      <c r="M40" s="16">
        <f>4800</f>
        <v>4800</v>
      </c>
      <c r="N40" s="16">
        <f>7400</f>
        <v>7400</v>
      </c>
      <c r="O40" s="16">
        <f>5600</f>
        <v>5600</v>
      </c>
      <c r="P40" s="16">
        <v>30000</v>
      </c>
      <c r="R40" s="15"/>
      <c r="S40" s="16"/>
    </row>
    <row r="43" spans="7:19">
      <c r="R43" t="s">
        <v>237</v>
      </c>
    </row>
    <row r="44" spans="7:19">
      <c r="R44" s="15" t="s">
        <v>238</v>
      </c>
      <c r="S44" s="16">
        <v>50</v>
      </c>
    </row>
    <row r="45" spans="7:19">
      <c r="R45" s="15" t="s">
        <v>239</v>
      </c>
      <c r="S45" s="16">
        <v>100</v>
      </c>
    </row>
    <row r="46" spans="7:19">
      <c r="R46" s="15" t="s">
        <v>240</v>
      </c>
      <c r="S46" s="16">
        <v>100</v>
      </c>
    </row>
    <row r="47" spans="7:19">
      <c r="R47" s="15" t="s">
        <v>241</v>
      </c>
      <c r="S47" s="16">
        <v>300</v>
      </c>
    </row>
    <row r="48" spans="7:19">
      <c r="R48" s="15" t="s">
        <v>242</v>
      </c>
      <c r="S48" s="16">
        <v>2500</v>
      </c>
    </row>
    <row r="49" spans="18:19">
      <c r="R49" s="15" t="s">
        <v>243</v>
      </c>
      <c r="S49" s="16">
        <v>1000</v>
      </c>
    </row>
    <row r="50" spans="18:19">
      <c r="R50" s="15" t="s">
        <v>267</v>
      </c>
      <c r="S50" s="16">
        <v>100</v>
      </c>
    </row>
    <row r="51" spans="18:19">
      <c r="R51" s="15" t="s">
        <v>268</v>
      </c>
      <c r="S51" s="16">
        <v>100</v>
      </c>
    </row>
    <row r="52" spans="18:19">
      <c r="R52" s="15" t="s">
        <v>244</v>
      </c>
      <c r="S52" s="16">
        <v>300</v>
      </c>
    </row>
    <row r="53" spans="18:19">
      <c r="R53" s="15" t="s">
        <v>245</v>
      </c>
      <c r="S53" s="16">
        <v>100</v>
      </c>
    </row>
    <row r="54" spans="18:19">
      <c r="R54" s="15"/>
      <c r="S54" s="16"/>
    </row>
    <row r="55" spans="18:19">
      <c r="R55" s="15"/>
      <c r="S55" s="16"/>
    </row>
    <row r="56" spans="18:19">
      <c r="R56" s="15"/>
      <c r="S56" s="16"/>
    </row>
    <row r="57" spans="18:19">
      <c r="R57" s="15"/>
      <c r="S57" s="16"/>
    </row>
    <row r="58" spans="18:19">
      <c r="R58" s="15"/>
      <c r="S58" s="16"/>
    </row>
    <row r="59" spans="18:19">
      <c r="R59" s="15"/>
      <c r="S59" s="16"/>
    </row>
    <row r="60" spans="18:19">
      <c r="R60" s="15"/>
      <c r="S60" s="16"/>
    </row>
  </sheetData>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18501-0681-4016-8F2F-83B42C2814BB}">
  <sheetPr codeName="Sheet9">
    <tabColor theme="0" tint="-0.34998626667073579"/>
  </sheetPr>
  <dimension ref="A1:P213"/>
  <sheetViews>
    <sheetView topLeftCell="A67" workbookViewId="0">
      <selection activeCell="D186" sqref="D186"/>
    </sheetView>
  </sheetViews>
  <sheetFormatPr defaultRowHeight="18"/>
  <cols>
    <col min="2" max="2" width="14.09765625" style="21" bestFit="1" customWidth="1"/>
    <col min="3" max="3" width="8.59765625" style="20"/>
    <col min="4" max="4" width="35" style="1" bestFit="1" customWidth="1"/>
    <col min="5" max="5" width="12.59765625" style="1" bestFit="1" customWidth="1"/>
    <col min="6" max="6" width="8.59765625" style="1"/>
    <col min="7" max="8" width="8.59765625" style="22"/>
    <col min="11" max="11" width="14.09765625" style="1" bestFit="1" customWidth="1"/>
    <col min="12" max="12" width="8.59765625" style="1"/>
    <col min="13" max="13" width="8.59765625" style="22"/>
  </cols>
  <sheetData>
    <row r="1" spans="1:16">
      <c r="D1" s="31" t="s">
        <v>120</v>
      </c>
      <c r="E1" s="32"/>
      <c r="F1" s="30"/>
      <c r="G1"/>
    </row>
    <row r="2" spans="1:16">
      <c r="D2" s="28" t="e">
        <f>IF(B9=0,"",B9)</f>
        <v>#REF!</v>
      </c>
      <c r="E2" s="29" t="e">
        <f>D2</f>
        <v>#REF!</v>
      </c>
      <c r="F2" s="30" t="e">
        <f>SUMIF($B$9:$B$213,D2,$H$9:$H$213)</f>
        <v>#REF!</v>
      </c>
      <c r="G2"/>
    </row>
    <row r="3" spans="1:16">
      <c r="D3" s="28" t="e">
        <f>IF(B50=0,"",B50)</f>
        <v>#REF!</v>
      </c>
      <c r="E3" s="29" t="e">
        <f t="shared" ref="E3:E6" si="0">D3</f>
        <v>#REF!</v>
      </c>
      <c r="F3" s="30" t="e">
        <f t="shared" ref="F3:F6" si="1">SUMIF($B$9:$B$213,D3,$H$9:$H$213)</f>
        <v>#REF!</v>
      </c>
    </row>
    <row r="4" spans="1:16">
      <c r="D4" s="28" t="e">
        <f>IF(B91=0,"",B91)</f>
        <v>#REF!</v>
      </c>
      <c r="E4" s="29" t="e">
        <f t="shared" si="0"/>
        <v>#REF!</v>
      </c>
      <c r="F4" s="30" t="e">
        <f t="shared" si="1"/>
        <v>#REF!</v>
      </c>
    </row>
    <row r="5" spans="1:16">
      <c r="D5" s="28" t="e">
        <f>IF(B132=0,"",B132)</f>
        <v>#REF!</v>
      </c>
      <c r="E5" s="29" t="e">
        <f t="shared" si="0"/>
        <v>#REF!</v>
      </c>
      <c r="F5" s="30" t="e">
        <f t="shared" si="1"/>
        <v>#REF!</v>
      </c>
    </row>
    <row r="6" spans="1:16">
      <c r="D6" s="28" t="e">
        <f>IF(B173=0,"",B173)</f>
        <v>#REF!</v>
      </c>
      <c r="E6" s="29" t="e">
        <f t="shared" si="0"/>
        <v>#REF!</v>
      </c>
      <c r="F6" s="30" t="e">
        <f t="shared" si="1"/>
        <v>#REF!</v>
      </c>
    </row>
    <row r="8" spans="1:16">
      <c r="A8" t="s">
        <v>246</v>
      </c>
      <c r="B8" s="21" t="s">
        <v>247</v>
      </c>
      <c r="C8" s="20" t="s">
        <v>248</v>
      </c>
      <c r="D8" s="1" t="s">
        <v>249</v>
      </c>
      <c r="E8" s="1" t="s">
        <v>250</v>
      </c>
      <c r="F8" s="1" t="s">
        <v>251</v>
      </c>
      <c r="G8" s="22" t="s">
        <v>122</v>
      </c>
      <c r="H8" s="22" t="s">
        <v>125</v>
      </c>
    </row>
    <row r="9" spans="1:16">
      <c r="A9">
        <v>1</v>
      </c>
      <c r="B9" s="21" t="e">
        <f>#REF!</f>
        <v>#REF!</v>
      </c>
      <c r="C9" s="20" t="e">
        <f>#REF!</f>
        <v>#REF!</v>
      </c>
      <c r="D9" s="1" t="e">
        <f>#REF!</f>
        <v>#REF!</v>
      </c>
      <c r="E9" s="1" t="e">
        <f>#REF!</f>
        <v>#REF!</v>
      </c>
      <c r="F9" s="1" t="e">
        <f>IF(E9=0,0,1)</f>
        <v>#REF!</v>
      </c>
      <c r="G9" s="22" t="e">
        <f>IF(#REF!="〇",#REF!,#REF!)</f>
        <v>#REF!</v>
      </c>
      <c r="H9" s="22" t="e">
        <f>F9*G9</f>
        <v>#REF!</v>
      </c>
      <c r="J9" s="21"/>
      <c r="K9" s="20"/>
      <c r="M9" s="1"/>
      <c r="N9" s="1"/>
      <c r="O9" s="22"/>
      <c r="P9" s="22"/>
    </row>
    <row r="10" spans="1:16">
      <c r="A10">
        <v>2</v>
      </c>
      <c r="B10" s="21" t="e">
        <f>#REF!</f>
        <v>#REF!</v>
      </c>
      <c r="C10" s="20" t="e">
        <f>#REF!</f>
        <v>#REF!</v>
      </c>
      <c r="D10" s="1" t="e">
        <f>#REF!</f>
        <v>#REF!</v>
      </c>
      <c r="E10" s="1" t="e">
        <f>#REF!</f>
        <v>#REF!</v>
      </c>
      <c r="F10" s="1" t="e">
        <f t="shared" ref="F10:F31" si="2">IF(E10=0,0,1)</f>
        <v>#REF!</v>
      </c>
      <c r="G10" s="22" t="e">
        <f>IF(#REF!="〇",#REF!,#REF!)</f>
        <v>#REF!</v>
      </c>
      <c r="H10" s="22" t="e">
        <f t="shared" ref="H10:H49" si="3">F10*G10</f>
        <v>#REF!</v>
      </c>
      <c r="J10" s="21"/>
      <c r="K10" s="20"/>
      <c r="M10" s="1"/>
      <c r="N10" s="1"/>
      <c r="O10" s="22"/>
      <c r="P10" s="22"/>
    </row>
    <row r="11" spans="1:16">
      <c r="A11">
        <v>3</v>
      </c>
      <c r="B11" s="21" t="e">
        <f>#REF!</f>
        <v>#REF!</v>
      </c>
      <c r="C11" s="20" t="e">
        <f>#REF!</f>
        <v>#REF!</v>
      </c>
      <c r="D11" s="1" t="e">
        <f>#REF!</f>
        <v>#REF!</v>
      </c>
      <c r="E11" s="1" t="e">
        <f>#REF!</f>
        <v>#REF!</v>
      </c>
      <c r="F11" s="1" t="e">
        <f t="shared" si="2"/>
        <v>#REF!</v>
      </c>
      <c r="G11" s="22" t="e">
        <f>IF(#REF!="〇",#REF!,#REF!)</f>
        <v>#REF!</v>
      </c>
      <c r="H11" s="22" t="e">
        <f t="shared" si="3"/>
        <v>#REF!</v>
      </c>
      <c r="J11" s="21"/>
      <c r="K11" s="20"/>
      <c r="M11" s="1"/>
      <c r="N11" s="1"/>
      <c r="O11" s="22"/>
      <c r="P11" s="22"/>
    </row>
    <row r="12" spans="1:16">
      <c r="A12">
        <v>4</v>
      </c>
      <c r="B12" s="21" t="e">
        <f>#REF!</f>
        <v>#REF!</v>
      </c>
      <c r="C12" s="20" t="e">
        <f>#REF!</f>
        <v>#REF!</v>
      </c>
      <c r="D12" s="1" t="e">
        <f>#REF!</f>
        <v>#REF!</v>
      </c>
      <c r="E12" s="1" t="e">
        <f>#REF!</f>
        <v>#REF!</v>
      </c>
      <c r="F12" s="1" t="e">
        <f t="shared" si="2"/>
        <v>#REF!</v>
      </c>
      <c r="G12" s="22" t="e">
        <f>IF(#REF!="〇",#REF!,#REF!)</f>
        <v>#REF!</v>
      </c>
      <c r="H12" s="22" t="e">
        <f t="shared" si="3"/>
        <v>#REF!</v>
      </c>
      <c r="J12" s="21"/>
      <c r="K12" s="20"/>
      <c r="M12" s="1"/>
      <c r="N12" s="1"/>
      <c r="O12" s="22"/>
      <c r="P12" s="22"/>
    </row>
    <row r="13" spans="1:16">
      <c r="A13">
        <v>5</v>
      </c>
      <c r="B13" s="21" t="e">
        <f>#REF!</f>
        <v>#REF!</v>
      </c>
      <c r="C13" s="20" t="e">
        <f>#REF!</f>
        <v>#REF!</v>
      </c>
      <c r="D13" s="1" t="e">
        <f>#REF!</f>
        <v>#REF!</v>
      </c>
      <c r="E13" s="1" t="e">
        <f>#REF!&amp;"～"&amp;#REF!</f>
        <v>#REF!</v>
      </c>
      <c r="F13" s="1" t="e">
        <f t="shared" si="2"/>
        <v>#REF!</v>
      </c>
      <c r="G13" s="22" t="e">
        <f>IF(#REF!="〇",#REF!,#REF!)</f>
        <v>#REF!</v>
      </c>
      <c r="H13" s="22" t="e">
        <f t="shared" si="3"/>
        <v>#REF!</v>
      </c>
      <c r="J13" s="21"/>
      <c r="K13" s="20"/>
      <c r="M13" s="1"/>
      <c r="N13" s="1"/>
      <c r="O13" s="22"/>
      <c r="P13" s="22"/>
    </row>
    <row r="14" spans="1:16">
      <c r="A14">
        <v>6</v>
      </c>
      <c r="B14" s="21" t="e">
        <f>#REF!</f>
        <v>#REF!</v>
      </c>
      <c r="C14" s="20" t="e">
        <f>#REF!</f>
        <v>#REF!</v>
      </c>
      <c r="D14" s="1" t="e">
        <f>#REF!</f>
        <v>#REF!</v>
      </c>
      <c r="E14" s="1" t="s">
        <v>252</v>
      </c>
      <c r="F14" s="1" t="e">
        <f>#REF!</f>
        <v>#REF!</v>
      </c>
      <c r="G14" s="22">
        <f>IFERROR(VLOOKUP(D14,'データ（触らない）'!$R$3:$S$17,2,FALSE),0)</f>
        <v>0</v>
      </c>
      <c r="H14" s="22" t="e">
        <f t="shared" si="3"/>
        <v>#REF!</v>
      </c>
      <c r="J14" s="21"/>
      <c r="K14" s="20"/>
      <c r="M14" s="1"/>
      <c r="N14" s="1"/>
      <c r="O14" s="22"/>
      <c r="P14" s="22"/>
    </row>
    <row r="15" spans="1:16">
      <c r="A15">
        <v>7</v>
      </c>
      <c r="B15" s="21" t="e">
        <f>#REF!</f>
        <v>#REF!</v>
      </c>
      <c r="C15" s="20" t="e">
        <f>#REF!</f>
        <v>#REF!</v>
      </c>
      <c r="D15" s="1" t="e">
        <f>#REF!</f>
        <v>#REF!</v>
      </c>
      <c r="E15" s="1" t="s">
        <v>252</v>
      </c>
      <c r="F15" s="1" t="e">
        <f>#REF!</f>
        <v>#REF!</v>
      </c>
      <c r="G15" s="22">
        <f>IFERROR(VLOOKUP(D15,'データ（触らない）'!$R$3:$S$17,2,FALSE),0)</f>
        <v>0</v>
      </c>
      <c r="H15" s="22" t="e">
        <f t="shared" si="3"/>
        <v>#REF!</v>
      </c>
      <c r="J15" s="21"/>
      <c r="K15" s="20"/>
      <c r="M15" s="1"/>
      <c r="N15" s="1"/>
      <c r="O15" s="22"/>
      <c r="P15" s="22"/>
    </row>
    <row r="16" spans="1:16">
      <c r="A16">
        <v>8</v>
      </c>
      <c r="B16" s="21" t="e">
        <f>#REF!</f>
        <v>#REF!</v>
      </c>
      <c r="C16" s="20" t="e">
        <f>#REF!</f>
        <v>#REF!</v>
      </c>
      <c r="D16" s="1" t="e">
        <f>#REF!</f>
        <v>#REF!</v>
      </c>
      <c r="E16" s="1" t="s">
        <v>252</v>
      </c>
      <c r="F16" s="1" t="e">
        <f>#REF!</f>
        <v>#REF!</v>
      </c>
      <c r="G16" s="22">
        <f>IFERROR(VLOOKUP(D16,'データ（触らない）'!$R$3:$S$17,2,FALSE),0)</f>
        <v>0</v>
      </c>
      <c r="H16" s="22" t="e">
        <f t="shared" si="3"/>
        <v>#REF!</v>
      </c>
      <c r="J16" s="21"/>
      <c r="K16" s="20"/>
      <c r="M16" s="1"/>
      <c r="N16" s="1"/>
      <c r="O16" s="22"/>
      <c r="P16" s="22"/>
    </row>
    <row r="17" spans="1:16">
      <c r="A17">
        <v>9</v>
      </c>
      <c r="B17" s="21" t="e">
        <f>#REF!</f>
        <v>#REF!</v>
      </c>
      <c r="C17" s="20" t="e">
        <f>#REF!</f>
        <v>#REF!</v>
      </c>
      <c r="D17" s="1" t="e">
        <f>#REF!</f>
        <v>#REF!</v>
      </c>
      <c r="E17" s="1" t="s">
        <v>252</v>
      </c>
      <c r="F17" s="1" t="e">
        <f>#REF!</f>
        <v>#REF!</v>
      </c>
      <c r="G17" s="22">
        <f>IFERROR(VLOOKUP(D17,'データ（触らない）'!$R$3:$S$17,2,FALSE),0)</f>
        <v>0</v>
      </c>
      <c r="H17" s="22" t="e">
        <f t="shared" si="3"/>
        <v>#REF!</v>
      </c>
      <c r="J17" s="21"/>
      <c r="K17" s="20"/>
      <c r="M17" s="1"/>
      <c r="N17" s="1"/>
      <c r="O17" s="22"/>
      <c r="P17" s="22"/>
    </row>
    <row r="18" spans="1:16">
      <c r="A18">
        <v>10</v>
      </c>
      <c r="B18" s="21" t="e">
        <f>#REF!</f>
        <v>#REF!</v>
      </c>
      <c r="C18" s="20" t="e">
        <f>#REF!</f>
        <v>#REF!</v>
      </c>
      <c r="D18" s="1" t="e">
        <f>#REF!</f>
        <v>#REF!</v>
      </c>
      <c r="E18" s="1" t="s">
        <v>252</v>
      </c>
      <c r="F18" s="1" t="e">
        <f>#REF!</f>
        <v>#REF!</v>
      </c>
      <c r="G18" s="22">
        <f>IFERROR(VLOOKUP(D18,'データ（触らない）'!$R$3:$S$17,2,FALSE),0)</f>
        <v>0</v>
      </c>
      <c r="H18" s="22" t="e">
        <f t="shared" si="3"/>
        <v>#REF!</v>
      </c>
      <c r="J18" s="21"/>
      <c r="K18" s="20"/>
      <c r="M18" s="1"/>
      <c r="N18" s="1"/>
      <c r="O18" s="22"/>
      <c r="P18" s="22"/>
    </row>
    <row r="19" spans="1:16">
      <c r="A19">
        <v>11</v>
      </c>
      <c r="B19" s="21" t="e">
        <f>#REF!</f>
        <v>#REF!</v>
      </c>
      <c r="C19" s="20" t="e">
        <f>#REF!</f>
        <v>#REF!</v>
      </c>
      <c r="D19" s="1" t="e">
        <f>#REF!</f>
        <v>#REF!</v>
      </c>
      <c r="E19" s="1" t="s">
        <v>252</v>
      </c>
      <c r="F19" s="1" t="e">
        <f>#REF!</f>
        <v>#REF!</v>
      </c>
      <c r="G19" s="22">
        <f>IFERROR(VLOOKUP(D19,'データ（触らない）'!$R$3:$S$17,2,FALSE),0)</f>
        <v>0</v>
      </c>
      <c r="H19" s="22" t="e">
        <f t="shared" si="3"/>
        <v>#REF!</v>
      </c>
      <c r="J19" s="21"/>
      <c r="K19" s="20"/>
      <c r="M19" s="1"/>
      <c r="N19" s="1"/>
      <c r="O19" s="22"/>
      <c r="P19" s="22"/>
    </row>
    <row r="20" spans="1:16">
      <c r="A20">
        <v>12</v>
      </c>
      <c r="B20" s="21" t="e">
        <f>#REF!</f>
        <v>#REF!</v>
      </c>
      <c r="C20" s="20" t="e">
        <f>#REF!</f>
        <v>#REF!</v>
      </c>
      <c r="D20" s="1" t="e">
        <f>#REF!</f>
        <v>#REF!</v>
      </c>
      <c r="E20" s="1" t="s">
        <v>252</v>
      </c>
      <c r="F20" s="1" t="e">
        <f>#REF!</f>
        <v>#REF!</v>
      </c>
      <c r="G20" s="22">
        <f>IFERROR(VLOOKUP(D20,'データ（触らない）'!$R$3:$S$17,2,FALSE),0)</f>
        <v>0</v>
      </c>
      <c r="H20" s="22" t="e">
        <f t="shared" si="3"/>
        <v>#REF!</v>
      </c>
      <c r="J20" s="21"/>
      <c r="K20" s="20"/>
      <c r="M20" s="1"/>
      <c r="N20" s="1"/>
      <c r="O20" s="22"/>
      <c r="P20" s="22"/>
    </row>
    <row r="21" spans="1:16">
      <c r="A21">
        <v>13</v>
      </c>
      <c r="B21" s="21" t="e">
        <f>#REF!</f>
        <v>#REF!</v>
      </c>
      <c r="C21" s="20" t="e">
        <f>#REF!</f>
        <v>#REF!</v>
      </c>
      <c r="D21" s="1" t="e">
        <f>#REF!</f>
        <v>#REF!</v>
      </c>
      <c r="E21" s="1" t="s">
        <v>252</v>
      </c>
      <c r="F21" s="1" t="e">
        <f>#REF!</f>
        <v>#REF!</v>
      </c>
      <c r="G21" s="22">
        <f>IFERROR(VLOOKUP(D21,'データ（触らない）'!$R$3:$S$17,2,FALSE),0)</f>
        <v>0</v>
      </c>
      <c r="H21" s="22" t="e">
        <f t="shared" si="3"/>
        <v>#REF!</v>
      </c>
      <c r="J21" s="21"/>
      <c r="K21" s="20"/>
      <c r="M21" s="1"/>
      <c r="N21" s="1"/>
      <c r="O21" s="22"/>
      <c r="P21" s="22"/>
    </row>
    <row r="22" spans="1:16">
      <c r="A22">
        <v>14</v>
      </c>
      <c r="B22" s="21" t="e">
        <f>#REF!</f>
        <v>#REF!</v>
      </c>
      <c r="C22" s="20" t="e">
        <f>#REF!</f>
        <v>#REF!</v>
      </c>
      <c r="D22" s="1" t="e">
        <f>#REF!</f>
        <v>#REF!</v>
      </c>
      <c r="E22" s="1" t="s">
        <v>252</v>
      </c>
      <c r="F22" s="1" t="e">
        <f>#REF!</f>
        <v>#REF!</v>
      </c>
      <c r="G22" s="22">
        <f>IFERROR(VLOOKUP(D22,'データ（触らない）'!$R$3:$S$17,2,FALSE),0)</f>
        <v>0</v>
      </c>
      <c r="H22" s="22" t="e">
        <f t="shared" si="3"/>
        <v>#REF!</v>
      </c>
      <c r="J22" s="21"/>
      <c r="K22" s="20"/>
      <c r="M22" s="1"/>
      <c r="N22" s="1"/>
      <c r="O22" s="22"/>
      <c r="P22" s="22"/>
    </row>
    <row r="23" spans="1:16">
      <c r="A23">
        <v>15</v>
      </c>
      <c r="B23" s="21" t="e">
        <f>#REF!</f>
        <v>#REF!</v>
      </c>
      <c r="C23" s="20" t="e">
        <f>#REF!</f>
        <v>#REF!</v>
      </c>
      <c r="D23" s="1" t="e">
        <f>#REF!</f>
        <v>#REF!</v>
      </c>
      <c r="E23" s="1" t="s">
        <v>252</v>
      </c>
      <c r="F23" s="1" t="e">
        <f>#REF!</f>
        <v>#REF!</v>
      </c>
      <c r="G23" s="22">
        <f>IFERROR(VLOOKUP(D23,'データ（触らない）'!$R$3:$S$17,2,FALSE),0)</f>
        <v>0</v>
      </c>
      <c r="H23" s="22" t="e">
        <f t="shared" si="3"/>
        <v>#REF!</v>
      </c>
      <c r="J23" s="21"/>
      <c r="K23" s="20"/>
      <c r="M23" s="1"/>
      <c r="N23" s="1"/>
      <c r="O23" s="22"/>
      <c r="P23" s="22"/>
    </row>
    <row r="24" spans="1:16">
      <c r="A24">
        <v>16</v>
      </c>
      <c r="B24" s="21" t="e">
        <f>#REF!</f>
        <v>#REF!</v>
      </c>
      <c r="C24" s="20" t="e">
        <f>#REF!</f>
        <v>#REF!</v>
      </c>
      <c r="D24" s="1" t="e">
        <f>#REF!</f>
        <v>#REF!</v>
      </c>
      <c r="E24" s="1" t="e">
        <f>#REF!</f>
        <v>#REF!</v>
      </c>
      <c r="F24" s="1" t="e">
        <f>IF(E24=0,0,1)</f>
        <v>#REF!</v>
      </c>
      <c r="G24" s="22" t="e">
        <f>IF(#REF!="〇",#REF!,#REF!)</f>
        <v>#REF!</v>
      </c>
      <c r="H24" s="22" t="e">
        <f t="shared" si="3"/>
        <v>#REF!</v>
      </c>
      <c r="J24" s="21"/>
      <c r="K24" s="20"/>
      <c r="M24" s="1"/>
      <c r="N24" s="1"/>
      <c r="O24" s="22"/>
      <c r="P24" s="22"/>
    </row>
    <row r="25" spans="1:16">
      <c r="A25">
        <v>17</v>
      </c>
      <c r="B25" s="21" t="e">
        <f>#REF!</f>
        <v>#REF!</v>
      </c>
      <c r="C25" s="20" t="e">
        <f>#REF!</f>
        <v>#REF!</v>
      </c>
      <c r="D25" s="1" t="e">
        <f>#REF!</f>
        <v>#REF!</v>
      </c>
      <c r="E25" s="1" t="s">
        <v>252</v>
      </c>
      <c r="F25" s="1" t="e">
        <f>#REF!</f>
        <v>#REF!</v>
      </c>
      <c r="G25" s="22">
        <f>IFERROR(VLOOKUP(D25,'データ（触らない）'!$R$21:$S$29,2,FALSE),0)</f>
        <v>0</v>
      </c>
      <c r="H25" s="22" t="e">
        <f t="shared" si="3"/>
        <v>#REF!</v>
      </c>
      <c r="J25" s="21"/>
      <c r="K25" s="20"/>
      <c r="M25" s="1"/>
      <c r="N25" s="1"/>
      <c r="O25" s="22"/>
      <c r="P25" s="22"/>
    </row>
    <row r="26" spans="1:16">
      <c r="A26">
        <v>18</v>
      </c>
      <c r="B26" s="21" t="e">
        <f>#REF!</f>
        <v>#REF!</v>
      </c>
      <c r="C26" s="20" t="e">
        <f>#REF!</f>
        <v>#REF!</v>
      </c>
      <c r="D26" s="1" t="e">
        <f>#REF!</f>
        <v>#REF!</v>
      </c>
      <c r="E26" s="1" t="s">
        <v>252</v>
      </c>
      <c r="F26" s="1" t="e">
        <f>#REF!</f>
        <v>#REF!</v>
      </c>
      <c r="G26" s="22">
        <f>IFERROR(VLOOKUP(D26,'データ（触らない）'!$R$21:$S$29,2,FALSE),0)</f>
        <v>0</v>
      </c>
      <c r="H26" s="22" t="e">
        <f t="shared" si="3"/>
        <v>#REF!</v>
      </c>
      <c r="J26" s="21"/>
      <c r="K26" s="20"/>
      <c r="M26" s="1"/>
      <c r="N26" s="1"/>
      <c r="O26" s="22"/>
      <c r="P26" s="22"/>
    </row>
    <row r="27" spans="1:16">
      <c r="A27">
        <v>19</v>
      </c>
      <c r="B27" s="21" t="e">
        <f>#REF!</f>
        <v>#REF!</v>
      </c>
      <c r="C27" s="20" t="e">
        <f>#REF!</f>
        <v>#REF!</v>
      </c>
      <c r="D27" s="1" t="e">
        <f>#REF!</f>
        <v>#REF!</v>
      </c>
      <c r="E27" s="1" t="s">
        <v>252</v>
      </c>
      <c r="F27" s="1" t="e">
        <f>#REF!</f>
        <v>#REF!</v>
      </c>
      <c r="G27" s="22">
        <f>IFERROR(VLOOKUP(D27,'データ（触らない）'!$R$21:$S$29,2,FALSE),0)</f>
        <v>0</v>
      </c>
      <c r="H27" s="22" t="e">
        <f t="shared" si="3"/>
        <v>#REF!</v>
      </c>
      <c r="J27" s="21"/>
      <c r="K27" s="20"/>
      <c r="M27" s="1"/>
      <c r="N27" s="1"/>
      <c r="O27" s="22"/>
      <c r="P27" s="22"/>
    </row>
    <row r="28" spans="1:16">
      <c r="A28">
        <v>20</v>
      </c>
      <c r="B28" s="21" t="e">
        <f>#REF!</f>
        <v>#REF!</v>
      </c>
      <c r="C28" s="20" t="e">
        <f>#REF!</f>
        <v>#REF!</v>
      </c>
      <c r="D28" s="1" t="e">
        <f>#REF!</f>
        <v>#REF!</v>
      </c>
      <c r="E28" s="1" t="s">
        <v>252</v>
      </c>
      <c r="F28" s="1" t="e">
        <f>#REF!</f>
        <v>#REF!</v>
      </c>
      <c r="G28" s="22">
        <f>IFERROR(VLOOKUP(D28,'データ（触らない）'!$R$21:$S$29,2,FALSE),0)</f>
        <v>0</v>
      </c>
      <c r="H28" s="22" t="e">
        <f t="shared" si="3"/>
        <v>#REF!</v>
      </c>
      <c r="J28" s="21"/>
      <c r="K28" s="20"/>
      <c r="M28" s="1"/>
      <c r="N28" s="1"/>
      <c r="O28" s="22"/>
      <c r="P28" s="22"/>
    </row>
    <row r="29" spans="1:16">
      <c r="A29">
        <v>21</v>
      </c>
      <c r="B29" s="21" t="e">
        <f>#REF!</f>
        <v>#REF!</v>
      </c>
      <c r="C29" s="20" t="e">
        <f>#REF!</f>
        <v>#REF!</v>
      </c>
      <c r="D29" s="1" t="e">
        <f>#REF!</f>
        <v>#REF!</v>
      </c>
      <c r="E29" s="1" t="s">
        <v>252</v>
      </c>
      <c r="F29" s="1" t="e">
        <f>#REF!</f>
        <v>#REF!</v>
      </c>
      <c r="G29" s="22">
        <f>IFERROR(VLOOKUP(D29,'データ（触らない）'!$R$21:$S$29,2,FALSE),0)</f>
        <v>0</v>
      </c>
      <c r="H29" s="22" t="e">
        <f t="shared" si="3"/>
        <v>#REF!</v>
      </c>
      <c r="J29" s="21"/>
      <c r="K29" s="20"/>
      <c r="M29" s="1"/>
      <c r="N29" s="1"/>
      <c r="O29" s="22"/>
      <c r="P29" s="22"/>
    </row>
    <row r="30" spans="1:16">
      <c r="A30">
        <v>22</v>
      </c>
      <c r="B30" s="21" t="e">
        <f>#REF!</f>
        <v>#REF!</v>
      </c>
      <c r="C30" s="20" t="e">
        <f>#REF!</f>
        <v>#REF!</v>
      </c>
      <c r="D30" s="1" t="e">
        <f>#REF!</f>
        <v>#REF!</v>
      </c>
      <c r="E30" s="1" t="s">
        <v>252</v>
      </c>
      <c r="F30" s="1" t="e">
        <f>#REF!</f>
        <v>#REF!</v>
      </c>
      <c r="G30" s="22">
        <f>IFERROR(VLOOKUP(D30,'データ（触らない）'!$R$21:$S$29,2,FALSE),0)</f>
        <v>0</v>
      </c>
      <c r="H30" s="22" t="e">
        <f t="shared" si="3"/>
        <v>#REF!</v>
      </c>
      <c r="J30" s="21"/>
      <c r="K30" s="20"/>
      <c r="M30" s="1"/>
      <c r="N30" s="1"/>
      <c r="O30" s="22"/>
      <c r="P30" s="22"/>
    </row>
    <row r="31" spans="1:16">
      <c r="A31">
        <v>23</v>
      </c>
      <c r="B31" s="21" t="e">
        <f>#REF!</f>
        <v>#REF!</v>
      </c>
      <c r="C31" s="20" t="e">
        <f>#REF!</f>
        <v>#REF!</v>
      </c>
      <c r="D31" s="1" t="e">
        <f>#REF!</f>
        <v>#REF!</v>
      </c>
      <c r="E31" s="1" t="e">
        <f>#REF!</f>
        <v>#REF!</v>
      </c>
      <c r="F31" s="1" t="e">
        <f t="shared" si="2"/>
        <v>#REF!</v>
      </c>
      <c r="G31" s="22" t="e">
        <f>IF(#REF!="〇",#REF!,#REF!)</f>
        <v>#REF!</v>
      </c>
      <c r="H31" s="22" t="e">
        <f t="shared" si="3"/>
        <v>#REF!</v>
      </c>
      <c r="J31" s="21"/>
      <c r="K31" s="20"/>
      <c r="M31" s="1"/>
      <c r="N31" s="1"/>
      <c r="O31" s="22"/>
      <c r="P31" s="22"/>
    </row>
    <row r="32" spans="1:16">
      <c r="A32">
        <v>24</v>
      </c>
      <c r="B32" s="21" t="e">
        <f>#REF!</f>
        <v>#REF!</v>
      </c>
      <c r="C32" s="20" t="e">
        <f>#REF!</f>
        <v>#REF!</v>
      </c>
      <c r="D32" s="1" t="e">
        <f>#REF!</f>
        <v>#REF!</v>
      </c>
      <c r="E32" s="1" t="s">
        <v>252</v>
      </c>
      <c r="F32" s="1" t="e">
        <f>#REF!</f>
        <v>#REF!</v>
      </c>
      <c r="G32" s="22">
        <f>IFERROR(VLOOKUP(D32,'データ（触らない）'!$R$33:$S$40,2,FALSE),0)</f>
        <v>0</v>
      </c>
      <c r="H32" s="22" t="e">
        <f t="shared" si="3"/>
        <v>#REF!</v>
      </c>
      <c r="J32" s="21"/>
      <c r="K32" s="20"/>
      <c r="M32" s="1"/>
      <c r="N32" s="1"/>
      <c r="O32" s="22"/>
      <c r="P32" s="22"/>
    </row>
    <row r="33" spans="1:16">
      <c r="A33">
        <v>25</v>
      </c>
      <c r="B33" s="21" t="e">
        <f>#REF!</f>
        <v>#REF!</v>
      </c>
      <c r="C33" s="20" t="e">
        <f>#REF!</f>
        <v>#REF!</v>
      </c>
      <c r="D33" s="1" t="e">
        <f>#REF!</f>
        <v>#REF!</v>
      </c>
      <c r="E33" s="1" t="s">
        <v>252</v>
      </c>
      <c r="F33" s="1" t="e">
        <f>#REF!</f>
        <v>#REF!</v>
      </c>
      <c r="G33" s="22">
        <f>IFERROR(VLOOKUP(D33,'データ（触らない）'!$R$33:$S$40,2,FALSE),0)</f>
        <v>0</v>
      </c>
      <c r="H33" s="22" t="e">
        <f t="shared" si="3"/>
        <v>#REF!</v>
      </c>
      <c r="J33" s="21"/>
      <c r="K33" s="20"/>
      <c r="M33" s="1"/>
      <c r="N33" s="1"/>
      <c r="O33" s="22"/>
      <c r="P33" s="22"/>
    </row>
    <row r="34" spans="1:16">
      <c r="A34">
        <v>26</v>
      </c>
      <c r="B34" s="21" t="e">
        <f>#REF!</f>
        <v>#REF!</v>
      </c>
      <c r="C34" s="20" t="e">
        <f>#REF!</f>
        <v>#REF!</v>
      </c>
      <c r="D34" s="1" t="e">
        <f>#REF!</f>
        <v>#REF!</v>
      </c>
      <c r="E34" s="1" t="s">
        <v>252</v>
      </c>
      <c r="F34" s="1" t="e">
        <f>#REF!</f>
        <v>#REF!</v>
      </c>
      <c r="G34" s="22">
        <f>IFERROR(VLOOKUP(D34,'データ（触らない）'!$R$33:$S$40,2,FALSE),0)</f>
        <v>0</v>
      </c>
      <c r="H34" s="22" t="e">
        <f t="shared" si="3"/>
        <v>#REF!</v>
      </c>
      <c r="J34" s="21"/>
      <c r="K34" s="20"/>
      <c r="M34" s="1"/>
      <c r="N34" s="1"/>
      <c r="O34" s="22"/>
      <c r="P34" s="22"/>
    </row>
    <row r="35" spans="1:16">
      <c r="A35">
        <v>27</v>
      </c>
      <c r="B35" s="21" t="e">
        <f>#REF!</f>
        <v>#REF!</v>
      </c>
      <c r="C35" s="20" t="e">
        <f>#REF!</f>
        <v>#REF!</v>
      </c>
      <c r="D35" s="1" t="e">
        <f>#REF!</f>
        <v>#REF!</v>
      </c>
      <c r="E35" s="1" t="s">
        <v>252</v>
      </c>
      <c r="F35" s="1" t="e">
        <f>#REF!</f>
        <v>#REF!</v>
      </c>
      <c r="G35" s="22">
        <f>IFERROR(VLOOKUP(D35,'データ（触らない）'!$R$33:$S$40,2,FALSE),0)</f>
        <v>0</v>
      </c>
      <c r="H35" s="22" t="e">
        <f t="shared" si="3"/>
        <v>#REF!</v>
      </c>
      <c r="J35" s="21"/>
      <c r="K35" s="20"/>
      <c r="M35" s="1"/>
      <c r="N35" s="1"/>
      <c r="O35" s="22"/>
      <c r="P35" s="22"/>
    </row>
    <row r="36" spans="1:16">
      <c r="A36">
        <v>28</v>
      </c>
      <c r="B36" s="21" t="e">
        <f>#REF!</f>
        <v>#REF!</v>
      </c>
      <c r="C36" s="20" t="e">
        <f>#REF!</f>
        <v>#REF!</v>
      </c>
      <c r="D36" s="1" t="e">
        <f>#REF!</f>
        <v>#REF!</v>
      </c>
      <c r="E36" s="1" t="s">
        <v>252</v>
      </c>
      <c r="F36" s="1" t="e">
        <f>#REF!</f>
        <v>#REF!</v>
      </c>
      <c r="G36" s="22">
        <f>IFERROR(VLOOKUP(D36,'データ（触らない）'!$R$33:$S$40,2,FALSE),0)</f>
        <v>0</v>
      </c>
      <c r="H36" s="22" t="e">
        <f t="shared" si="3"/>
        <v>#REF!</v>
      </c>
      <c r="J36" s="21"/>
      <c r="K36" s="20"/>
      <c r="M36" s="1"/>
      <c r="N36" s="1"/>
      <c r="O36" s="22"/>
      <c r="P36" s="22"/>
    </row>
    <row r="37" spans="1:16">
      <c r="A37">
        <v>29</v>
      </c>
      <c r="B37" s="21" t="e">
        <f>#REF!</f>
        <v>#REF!</v>
      </c>
      <c r="C37" s="20" t="e">
        <f>#REF!</f>
        <v>#REF!</v>
      </c>
      <c r="D37" s="1" t="e">
        <f>#REF!</f>
        <v>#REF!</v>
      </c>
      <c r="E37" s="1" t="s">
        <v>252</v>
      </c>
      <c r="F37" s="1" t="e">
        <f>#REF!</f>
        <v>#REF!</v>
      </c>
      <c r="G37" s="22">
        <f>IFERROR(VLOOKUP(D37,'データ（触らない）'!$R$44:$S$60,2,FALSE),0)</f>
        <v>0</v>
      </c>
      <c r="H37" s="22" t="e">
        <f t="shared" si="3"/>
        <v>#REF!</v>
      </c>
      <c r="J37" s="21"/>
      <c r="K37" s="20"/>
      <c r="M37" s="1"/>
      <c r="N37" s="1"/>
      <c r="O37" s="22"/>
      <c r="P37" s="22"/>
    </row>
    <row r="38" spans="1:16">
      <c r="A38">
        <v>30</v>
      </c>
      <c r="B38" s="21" t="e">
        <f>#REF!</f>
        <v>#REF!</v>
      </c>
      <c r="C38" s="20" t="e">
        <f>#REF!</f>
        <v>#REF!</v>
      </c>
      <c r="D38" s="1" t="e">
        <f>#REF!</f>
        <v>#REF!</v>
      </c>
      <c r="E38" s="1" t="s">
        <v>252</v>
      </c>
      <c r="F38" s="1" t="e">
        <f>#REF!</f>
        <v>#REF!</v>
      </c>
      <c r="G38" s="22">
        <f>IFERROR(VLOOKUP(D38,'データ（触らない）'!$R$44:$S$60,2,FALSE),0)</f>
        <v>0</v>
      </c>
      <c r="H38" s="22" t="e">
        <f t="shared" si="3"/>
        <v>#REF!</v>
      </c>
      <c r="J38" s="21"/>
      <c r="K38" s="20"/>
      <c r="M38" s="1"/>
      <c r="N38" s="1"/>
      <c r="O38" s="22"/>
      <c r="P38" s="22"/>
    </row>
    <row r="39" spans="1:16">
      <c r="A39">
        <v>31</v>
      </c>
      <c r="B39" s="21" t="e">
        <f>#REF!</f>
        <v>#REF!</v>
      </c>
      <c r="C39" s="20" t="e">
        <f>#REF!</f>
        <v>#REF!</v>
      </c>
      <c r="D39" s="1" t="e">
        <f>#REF!</f>
        <v>#REF!</v>
      </c>
      <c r="E39" s="1" t="s">
        <v>252</v>
      </c>
      <c r="F39" s="1" t="e">
        <f>#REF!</f>
        <v>#REF!</v>
      </c>
      <c r="G39" s="22">
        <f>IFERROR(VLOOKUP(D39,'データ（触らない）'!$R$44:$S$60,2,FALSE),0)</f>
        <v>0</v>
      </c>
      <c r="H39" s="22" t="e">
        <f t="shared" si="3"/>
        <v>#REF!</v>
      </c>
      <c r="J39" s="21"/>
      <c r="K39" s="20"/>
      <c r="M39" s="1"/>
      <c r="N39" s="1"/>
      <c r="O39" s="22"/>
      <c r="P39" s="22"/>
    </row>
    <row r="40" spans="1:16">
      <c r="A40">
        <v>32</v>
      </c>
      <c r="B40" s="21" t="e">
        <f>#REF!</f>
        <v>#REF!</v>
      </c>
      <c r="C40" s="20" t="e">
        <f>#REF!</f>
        <v>#REF!</v>
      </c>
      <c r="D40" s="1" t="e">
        <f>#REF!</f>
        <v>#REF!</v>
      </c>
      <c r="E40" s="1" t="s">
        <v>252</v>
      </c>
      <c r="F40" s="1" t="e">
        <f>#REF!</f>
        <v>#REF!</v>
      </c>
      <c r="G40" s="22">
        <f>IFERROR(VLOOKUP(D40,'データ（触らない）'!$R$44:$S$60,2,FALSE),0)</f>
        <v>0</v>
      </c>
      <c r="H40" s="22" t="e">
        <f t="shared" si="3"/>
        <v>#REF!</v>
      </c>
      <c r="J40" s="21"/>
      <c r="K40" s="20"/>
      <c r="M40" s="1"/>
      <c r="N40" s="1"/>
      <c r="O40" s="22"/>
      <c r="P40" s="22"/>
    </row>
    <row r="41" spans="1:16">
      <c r="A41">
        <v>33</v>
      </c>
      <c r="B41" s="21" t="e">
        <f>#REF!</f>
        <v>#REF!</v>
      </c>
      <c r="C41" s="20" t="e">
        <f>#REF!</f>
        <v>#REF!</v>
      </c>
      <c r="D41" s="1" t="e">
        <f>#REF!</f>
        <v>#REF!</v>
      </c>
      <c r="E41" s="1" t="s">
        <v>252</v>
      </c>
      <c r="F41" s="1" t="e">
        <f>#REF!</f>
        <v>#REF!</v>
      </c>
      <c r="G41" s="22">
        <f>IFERROR(VLOOKUP(D41,'データ（触らない）'!$R$44:$S$60,2,FALSE),0)</f>
        <v>0</v>
      </c>
      <c r="H41" s="22" t="e">
        <f t="shared" si="3"/>
        <v>#REF!</v>
      </c>
      <c r="J41" s="21"/>
      <c r="K41" s="20"/>
      <c r="M41" s="1"/>
      <c r="N41" s="1"/>
      <c r="O41" s="22"/>
      <c r="P41" s="22"/>
    </row>
    <row r="42" spans="1:16">
      <c r="A42">
        <v>34</v>
      </c>
      <c r="B42" s="21" t="e">
        <f>#REF!</f>
        <v>#REF!</v>
      </c>
      <c r="C42" s="20" t="e">
        <f>#REF!</f>
        <v>#REF!</v>
      </c>
      <c r="D42" s="1" t="e">
        <f>#REF!</f>
        <v>#REF!</v>
      </c>
      <c r="E42" s="1" t="s">
        <v>252</v>
      </c>
      <c r="F42" s="1" t="e">
        <f>#REF!</f>
        <v>#REF!</v>
      </c>
      <c r="G42" s="22">
        <f>IFERROR(VLOOKUP(D42,'データ（触らない）'!$R$44:$S$60,2,FALSE),0)</f>
        <v>0</v>
      </c>
      <c r="H42" s="22" t="e">
        <f t="shared" si="3"/>
        <v>#REF!</v>
      </c>
      <c r="J42" s="21"/>
      <c r="K42" s="20"/>
      <c r="M42" s="1"/>
      <c r="N42" s="1"/>
      <c r="O42" s="22"/>
      <c r="P42" s="22"/>
    </row>
    <row r="43" spans="1:16">
      <c r="A43">
        <v>35</v>
      </c>
      <c r="B43" s="21" t="e">
        <f>#REF!</f>
        <v>#REF!</v>
      </c>
      <c r="C43" s="20" t="e">
        <f>#REF!</f>
        <v>#REF!</v>
      </c>
      <c r="D43" s="1" t="e">
        <f>#REF!</f>
        <v>#REF!</v>
      </c>
      <c r="E43" s="1" t="s">
        <v>252</v>
      </c>
      <c r="F43" s="1" t="e">
        <f>#REF!</f>
        <v>#REF!</v>
      </c>
      <c r="G43" s="22">
        <f>IFERROR(VLOOKUP(D43,'データ（触らない）'!$R$44:$S$60,2,FALSE),0)</f>
        <v>0</v>
      </c>
      <c r="H43" s="22" t="e">
        <f t="shared" si="3"/>
        <v>#REF!</v>
      </c>
      <c r="J43" s="21"/>
      <c r="K43" s="20"/>
      <c r="M43" s="1"/>
      <c r="N43" s="1"/>
      <c r="O43" s="22"/>
      <c r="P43" s="22"/>
    </row>
    <row r="44" spans="1:16">
      <c r="A44">
        <v>36</v>
      </c>
      <c r="B44" s="21" t="e">
        <f>#REF!</f>
        <v>#REF!</v>
      </c>
      <c r="C44" s="20" t="e">
        <f>#REF!</f>
        <v>#REF!</v>
      </c>
      <c r="D44" s="1" t="e">
        <f>#REF!</f>
        <v>#REF!</v>
      </c>
      <c r="E44" s="1" t="s">
        <v>252</v>
      </c>
      <c r="F44" s="1" t="e">
        <f>#REF!</f>
        <v>#REF!</v>
      </c>
      <c r="G44" s="22">
        <f>IFERROR(VLOOKUP(D44,'データ（触らない）'!$R$44:$S$60,2,FALSE),0)</f>
        <v>0</v>
      </c>
      <c r="H44" s="22" t="e">
        <f t="shared" si="3"/>
        <v>#REF!</v>
      </c>
      <c r="J44" s="21"/>
      <c r="K44" s="20"/>
      <c r="M44" s="1"/>
      <c r="N44" s="1"/>
      <c r="O44" s="22"/>
      <c r="P44" s="22"/>
    </row>
    <row r="45" spans="1:16">
      <c r="A45">
        <v>37</v>
      </c>
      <c r="B45" s="21" t="e">
        <f>#REF!</f>
        <v>#REF!</v>
      </c>
      <c r="C45" s="20" t="e">
        <f>#REF!</f>
        <v>#REF!</v>
      </c>
      <c r="D45" s="1" t="e">
        <f>#REF!</f>
        <v>#REF!</v>
      </c>
      <c r="E45" s="1" t="s">
        <v>252</v>
      </c>
      <c r="F45" s="1" t="e">
        <f>#REF!</f>
        <v>#REF!</v>
      </c>
      <c r="G45" s="22">
        <f>IFERROR(VLOOKUP(D45,'データ（触らない）'!$R$44:$S$60,2,FALSE),0)</f>
        <v>0</v>
      </c>
      <c r="H45" s="22" t="e">
        <f t="shared" si="3"/>
        <v>#REF!</v>
      </c>
      <c r="J45" s="21"/>
      <c r="K45" s="20"/>
      <c r="M45" s="1"/>
      <c r="N45" s="1"/>
      <c r="O45" s="22"/>
      <c r="P45" s="22"/>
    </row>
    <row r="46" spans="1:16">
      <c r="A46">
        <v>38</v>
      </c>
      <c r="B46" s="21" t="e">
        <f>#REF!</f>
        <v>#REF!</v>
      </c>
      <c r="C46" s="20" t="e">
        <f>#REF!</f>
        <v>#REF!</v>
      </c>
      <c r="D46" s="1" t="e">
        <f>#REF!</f>
        <v>#REF!</v>
      </c>
      <c r="E46" s="1" t="s">
        <v>252</v>
      </c>
      <c r="F46" s="1" t="e">
        <f>#REF!</f>
        <v>#REF!</v>
      </c>
      <c r="G46" s="22">
        <f>IFERROR(VLOOKUP(D46,'データ（触らない）'!$R$44:$S$60,2,FALSE),0)</f>
        <v>0</v>
      </c>
      <c r="H46" s="22" t="e">
        <f t="shared" si="3"/>
        <v>#REF!</v>
      </c>
      <c r="J46" s="21"/>
      <c r="K46" s="20"/>
      <c r="M46" s="1"/>
      <c r="N46" s="1"/>
      <c r="O46" s="22"/>
      <c r="P46" s="22"/>
    </row>
    <row r="47" spans="1:16">
      <c r="A47">
        <v>39</v>
      </c>
      <c r="B47" s="21" t="e">
        <f>#REF!</f>
        <v>#REF!</v>
      </c>
      <c r="C47" s="20" t="e">
        <f>#REF!</f>
        <v>#REF!</v>
      </c>
      <c r="D47" s="1" t="e">
        <f>#REF!</f>
        <v>#REF!</v>
      </c>
      <c r="E47" s="1" t="s">
        <v>252</v>
      </c>
      <c r="F47" s="1" t="e">
        <f>#REF!</f>
        <v>#REF!</v>
      </c>
      <c r="G47" s="22">
        <f>IFERROR(VLOOKUP(D47,'データ（触らない）'!$R$44:$S$60,2,FALSE),0)</f>
        <v>0</v>
      </c>
      <c r="H47" s="22" t="e">
        <f t="shared" si="3"/>
        <v>#REF!</v>
      </c>
      <c r="J47" s="21"/>
      <c r="K47" s="20"/>
      <c r="M47" s="1"/>
      <c r="N47" s="1"/>
      <c r="O47" s="22"/>
      <c r="P47" s="22"/>
    </row>
    <row r="48" spans="1:16">
      <c r="A48">
        <v>40</v>
      </c>
      <c r="B48" s="21" t="e">
        <f>#REF!</f>
        <v>#REF!</v>
      </c>
      <c r="C48" s="20" t="e">
        <f>#REF!</f>
        <v>#REF!</v>
      </c>
      <c r="D48" s="1" t="e">
        <f>#REF!</f>
        <v>#REF!</v>
      </c>
      <c r="E48" s="1" t="s">
        <v>252</v>
      </c>
      <c r="F48" s="1" t="e">
        <f>#REF!</f>
        <v>#REF!</v>
      </c>
      <c r="G48" s="22">
        <f>IFERROR(VLOOKUP(D48,'データ（触らない）'!$R$44:$S$60,2,FALSE),0)</f>
        <v>0</v>
      </c>
      <c r="H48" s="22" t="e">
        <f t="shared" si="3"/>
        <v>#REF!</v>
      </c>
      <c r="J48" s="21"/>
      <c r="K48" s="20"/>
      <c r="M48" s="1"/>
      <c r="N48" s="1"/>
      <c r="O48" s="22"/>
      <c r="P48" s="22"/>
    </row>
    <row r="49" spans="1:16">
      <c r="A49">
        <v>41</v>
      </c>
      <c r="B49" s="21" t="e">
        <f>#REF!</f>
        <v>#REF!</v>
      </c>
      <c r="C49" s="20" t="e">
        <f>#REF!</f>
        <v>#REF!</v>
      </c>
      <c r="D49" s="1" t="e">
        <f>#REF!</f>
        <v>#REF!</v>
      </c>
      <c r="E49" s="1" t="s">
        <v>252</v>
      </c>
      <c r="F49" s="1" t="e">
        <f>#REF!</f>
        <v>#REF!</v>
      </c>
      <c r="G49" s="22">
        <f>IFERROR(VLOOKUP(D49,'データ（触らない）'!$R$44:$S$60,2,FALSE),0)</f>
        <v>0</v>
      </c>
      <c r="H49" s="22" t="e">
        <f t="shared" si="3"/>
        <v>#REF!</v>
      </c>
      <c r="J49" s="21"/>
      <c r="K49" s="20"/>
      <c r="M49" s="1"/>
      <c r="N49" s="1"/>
      <c r="O49" s="22"/>
      <c r="P49" s="22"/>
    </row>
    <row r="50" spans="1:16">
      <c r="A50" s="23">
        <v>42</v>
      </c>
      <c r="B50" s="24" t="e">
        <f>#REF!</f>
        <v>#REF!</v>
      </c>
      <c r="C50" s="25" t="e">
        <f>#REF!</f>
        <v>#REF!</v>
      </c>
      <c r="D50" s="26" t="e">
        <f>#REF!</f>
        <v>#REF!</v>
      </c>
      <c r="E50" s="26" t="e">
        <f>#REF!</f>
        <v>#REF!</v>
      </c>
      <c r="F50" s="26" t="e">
        <f>IF(E50=0,0,1)</f>
        <v>#REF!</v>
      </c>
      <c r="G50" s="27" t="e">
        <f>IF(#REF!="〇",#REF!,#REF!)</f>
        <v>#REF!</v>
      </c>
      <c r="H50" s="27" t="e">
        <f>F50*G50</f>
        <v>#REF!</v>
      </c>
    </row>
    <row r="51" spans="1:16">
      <c r="A51" s="23">
        <v>43</v>
      </c>
      <c r="B51" s="24" t="e">
        <f>#REF!</f>
        <v>#REF!</v>
      </c>
      <c r="C51" s="25" t="e">
        <f>#REF!</f>
        <v>#REF!</v>
      </c>
      <c r="D51" s="26" t="e">
        <f>#REF!</f>
        <v>#REF!</v>
      </c>
      <c r="E51" s="26" t="e">
        <f>#REF!</f>
        <v>#REF!</v>
      </c>
      <c r="F51" s="26" t="e">
        <f t="shared" ref="F51:F54" si="4">IF(E51=0,0,1)</f>
        <v>#REF!</v>
      </c>
      <c r="G51" s="27" t="e">
        <f>IF(#REF!="〇",#REF!,#REF!)</f>
        <v>#REF!</v>
      </c>
      <c r="H51" s="27" t="e">
        <f t="shared" ref="H51:H90" si="5">F51*G51</f>
        <v>#REF!</v>
      </c>
    </row>
    <row r="52" spans="1:16">
      <c r="A52" s="23">
        <v>44</v>
      </c>
      <c r="B52" s="24" t="e">
        <f>#REF!</f>
        <v>#REF!</v>
      </c>
      <c r="C52" s="25" t="e">
        <f>#REF!</f>
        <v>#REF!</v>
      </c>
      <c r="D52" s="26" t="e">
        <f>#REF!</f>
        <v>#REF!</v>
      </c>
      <c r="E52" s="26" t="e">
        <f>#REF!</f>
        <v>#REF!</v>
      </c>
      <c r="F52" s="26" t="e">
        <f t="shared" si="4"/>
        <v>#REF!</v>
      </c>
      <c r="G52" s="27" t="e">
        <f>IF(#REF!="〇",#REF!,#REF!)</f>
        <v>#REF!</v>
      </c>
      <c r="H52" s="27" t="e">
        <f t="shared" si="5"/>
        <v>#REF!</v>
      </c>
    </row>
    <row r="53" spans="1:16">
      <c r="A53" s="23">
        <v>45</v>
      </c>
      <c r="B53" s="24" t="e">
        <f>#REF!</f>
        <v>#REF!</v>
      </c>
      <c r="C53" s="25" t="e">
        <f>#REF!</f>
        <v>#REF!</v>
      </c>
      <c r="D53" s="26" t="e">
        <f>#REF!</f>
        <v>#REF!</v>
      </c>
      <c r="E53" s="26" t="e">
        <f>#REF!</f>
        <v>#REF!</v>
      </c>
      <c r="F53" s="26" t="e">
        <f t="shared" si="4"/>
        <v>#REF!</v>
      </c>
      <c r="G53" s="27" t="e">
        <f>IF(#REF!="〇",#REF!,#REF!)</f>
        <v>#REF!</v>
      </c>
      <c r="H53" s="27" t="e">
        <f t="shared" si="5"/>
        <v>#REF!</v>
      </c>
    </row>
    <row r="54" spans="1:16">
      <c r="A54" s="23">
        <v>46</v>
      </c>
      <c r="B54" s="24" t="e">
        <f>#REF!</f>
        <v>#REF!</v>
      </c>
      <c r="C54" s="25" t="e">
        <f>#REF!</f>
        <v>#REF!</v>
      </c>
      <c r="D54" s="26" t="e">
        <f>#REF!</f>
        <v>#REF!</v>
      </c>
      <c r="E54" s="26" t="e">
        <f>#REF!&amp;"～"&amp;#REF!</f>
        <v>#REF!</v>
      </c>
      <c r="F54" s="26" t="e">
        <f t="shared" si="4"/>
        <v>#REF!</v>
      </c>
      <c r="G54" s="27" t="e">
        <f>IF(#REF!="〇",#REF!,#REF!)</f>
        <v>#REF!</v>
      </c>
      <c r="H54" s="27" t="e">
        <f t="shared" si="5"/>
        <v>#REF!</v>
      </c>
    </row>
    <row r="55" spans="1:16">
      <c r="A55" s="23">
        <v>47</v>
      </c>
      <c r="B55" s="24" t="e">
        <f>#REF!</f>
        <v>#REF!</v>
      </c>
      <c r="C55" s="25" t="e">
        <f>#REF!</f>
        <v>#REF!</v>
      </c>
      <c r="D55" s="26" t="e">
        <f>#REF!</f>
        <v>#REF!</v>
      </c>
      <c r="E55" s="26" t="s">
        <v>253</v>
      </c>
      <c r="F55" s="26" t="e">
        <f>#REF!</f>
        <v>#REF!</v>
      </c>
      <c r="G55" s="27">
        <f>IFERROR(VLOOKUP(D55,'データ（触らない）'!$R$3:$S$17,2,FALSE),0)</f>
        <v>0</v>
      </c>
      <c r="H55" s="27" t="e">
        <f t="shared" si="5"/>
        <v>#REF!</v>
      </c>
    </row>
    <row r="56" spans="1:16">
      <c r="A56" s="23">
        <v>48</v>
      </c>
      <c r="B56" s="24" t="e">
        <f>#REF!</f>
        <v>#REF!</v>
      </c>
      <c r="C56" s="25" t="e">
        <f>#REF!</f>
        <v>#REF!</v>
      </c>
      <c r="D56" s="26" t="e">
        <f>#REF!</f>
        <v>#REF!</v>
      </c>
      <c r="E56" s="26" t="s">
        <v>253</v>
      </c>
      <c r="F56" s="26" t="e">
        <f>#REF!</f>
        <v>#REF!</v>
      </c>
      <c r="G56" s="27">
        <f>IFERROR(VLOOKUP(D56,'データ（触らない）'!$R$3:$S$17,2,FALSE),0)</f>
        <v>0</v>
      </c>
      <c r="H56" s="27" t="e">
        <f t="shared" si="5"/>
        <v>#REF!</v>
      </c>
    </row>
    <row r="57" spans="1:16">
      <c r="A57" s="23">
        <v>49</v>
      </c>
      <c r="B57" s="24" t="e">
        <f>#REF!</f>
        <v>#REF!</v>
      </c>
      <c r="C57" s="25" t="e">
        <f>#REF!</f>
        <v>#REF!</v>
      </c>
      <c r="D57" s="26" t="e">
        <f>#REF!</f>
        <v>#REF!</v>
      </c>
      <c r="E57" s="26" t="s">
        <v>253</v>
      </c>
      <c r="F57" s="26" t="e">
        <f>#REF!</f>
        <v>#REF!</v>
      </c>
      <c r="G57" s="27">
        <f>IFERROR(VLOOKUP(D57,'データ（触らない）'!$R$3:$S$17,2,FALSE),0)</f>
        <v>0</v>
      </c>
      <c r="H57" s="27" t="e">
        <f t="shared" si="5"/>
        <v>#REF!</v>
      </c>
    </row>
    <row r="58" spans="1:16">
      <c r="A58" s="23">
        <v>50</v>
      </c>
      <c r="B58" s="24" t="e">
        <f>#REF!</f>
        <v>#REF!</v>
      </c>
      <c r="C58" s="25" t="e">
        <f>#REF!</f>
        <v>#REF!</v>
      </c>
      <c r="D58" s="26" t="e">
        <f>#REF!</f>
        <v>#REF!</v>
      </c>
      <c r="E58" s="26" t="s">
        <v>253</v>
      </c>
      <c r="F58" s="26" t="e">
        <f>#REF!</f>
        <v>#REF!</v>
      </c>
      <c r="G58" s="27">
        <f>IFERROR(VLOOKUP(D58,'データ（触らない）'!$R$3:$S$17,2,FALSE),0)</f>
        <v>0</v>
      </c>
      <c r="H58" s="27" t="e">
        <f t="shared" si="5"/>
        <v>#REF!</v>
      </c>
    </row>
    <row r="59" spans="1:16">
      <c r="A59" s="23">
        <v>51</v>
      </c>
      <c r="B59" s="24" t="e">
        <f>#REF!</f>
        <v>#REF!</v>
      </c>
      <c r="C59" s="25" t="e">
        <f>#REF!</f>
        <v>#REF!</v>
      </c>
      <c r="D59" s="26" t="e">
        <f>#REF!</f>
        <v>#REF!</v>
      </c>
      <c r="E59" s="26" t="s">
        <v>253</v>
      </c>
      <c r="F59" s="26" t="e">
        <f>#REF!</f>
        <v>#REF!</v>
      </c>
      <c r="G59" s="27">
        <f>IFERROR(VLOOKUP(D59,'データ（触らない）'!$R$3:$S$17,2,FALSE),0)</f>
        <v>0</v>
      </c>
      <c r="H59" s="27" t="e">
        <f t="shared" si="5"/>
        <v>#REF!</v>
      </c>
    </row>
    <row r="60" spans="1:16">
      <c r="A60" s="23">
        <v>52</v>
      </c>
      <c r="B60" s="24" t="e">
        <f>#REF!</f>
        <v>#REF!</v>
      </c>
      <c r="C60" s="25" t="e">
        <f>#REF!</f>
        <v>#REF!</v>
      </c>
      <c r="D60" s="26" t="e">
        <f>#REF!</f>
        <v>#REF!</v>
      </c>
      <c r="E60" s="26" t="s">
        <v>253</v>
      </c>
      <c r="F60" s="26" t="e">
        <f>#REF!</f>
        <v>#REF!</v>
      </c>
      <c r="G60" s="27">
        <f>IFERROR(VLOOKUP(D60,'データ（触らない）'!$R$3:$S$17,2,FALSE),0)</f>
        <v>0</v>
      </c>
      <c r="H60" s="27" t="e">
        <f t="shared" si="5"/>
        <v>#REF!</v>
      </c>
    </row>
    <row r="61" spans="1:16">
      <c r="A61" s="23">
        <v>53</v>
      </c>
      <c r="B61" s="24" t="e">
        <f>#REF!</f>
        <v>#REF!</v>
      </c>
      <c r="C61" s="25" t="e">
        <f>#REF!</f>
        <v>#REF!</v>
      </c>
      <c r="D61" s="26" t="e">
        <f>#REF!</f>
        <v>#REF!</v>
      </c>
      <c r="E61" s="26" t="s">
        <v>253</v>
      </c>
      <c r="F61" s="26" t="e">
        <f>#REF!</f>
        <v>#REF!</v>
      </c>
      <c r="G61" s="27">
        <f>IFERROR(VLOOKUP(D61,'データ（触らない）'!$R$3:$S$17,2,FALSE),0)</f>
        <v>0</v>
      </c>
      <c r="H61" s="27" t="e">
        <f t="shared" si="5"/>
        <v>#REF!</v>
      </c>
    </row>
    <row r="62" spans="1:16">
      <c r="A62" s="23">
        <v>54</v>
      </c>
      <c r="B62" s="24" t="e">
        <f>#REF!</f>
        <v>#REF!</v>
      </c>
      <c r="C62" s="25" t="e">
        <f>#REF!</f>
        <v>#REF!</v>
      </c>
      <c r="D62" s="26" t="e">
        <f>#REF!</f>
        <v>#REF!</v>
      </c>
      <c r="E62" s="26" t="s">
        <v>253</v>
      </c>
      <c r="F62" s="26" t="e">
        <f>#REF!</f>
        <v>#REF!</v>
      </c>
      <c r="G62" s="27">
        <f>IFERROR(VLOOKUP(D62,'データ（触らない）'!$R$3:$S$17,2,FALSE),0)</f>
        <v>0</v>
      </c>
      <c r="H62" s="27" t="e">
        <f t="shared" si="5"/>
        <v>#REF!</v>
      </c>
    </row>
    <row r="63" spans="1:16">
      <c r="A63" s="23">
        <v>55</v>
      </c>
      <c r="B63" s="24" t="e">
        <f>#REF!</f>
        <v>#REF!</v>
      </c>
      <c r="C63" s="25" t="e">
        <f>#REF!</f>
        <v>#REF!</v>
      </c>
      <c r="D63" s="26" t="e">
        <f>#REF!</f>
        <v>#REF!</v>
      </c>
      <c r="E63" s="26" t="s">
        <v>253</v>
      </c>
      <c r="F63" s="26" t="e">
        <f>#REF!</f>
        <v>#REF!</v>
      </c>
      <c r="G63" s="27">
        <f>IFERROR(VLOOKUP(D63,'データ（触らない）'!$R$3:$S$17,2,FALSE),0)</f>
        <v>0</v>
      </c>
      <c r="H63" s="27" t="e">
        <f t="shared" si="5"/>
        <v>#REF!</v>
      </c>
    </row>
    <row r="64" spans="1:16">
      <c r="A64" s="23">
        <v>56</v>
      </c>
      <c r="B64" s="24" t="e">
        <f>#REF!</f>
        <v>#REF!</v>
      </c>
      <c r="C64" s="25" t="e">
        <f>#REF!</f>
        <v>#REF!</v>
      </c>
      <c r="D64" s="26" t="e">
        <f>#REF!</f>
        <v>#REF!</v>
      </c>
      <c r="E64" s="26" t="s">
        <v>253</v>
      </c>
      <c r="F64" s="26" t="e">
        <f>#REF!</f>
        <v>#REF!</v>
      </c>
      <c r="G64" s="27">
        <f>IFERROR(VLOOKUP(D64,'データ（触らない）'!$R$3:$S$17,2,FALSE),0)</f>
        <v>0</v>
      </c>
      <c r="H64" s="27" t="e">
        <f t="shared" si="5"/>
        <v>#REF!</v>
      </c>
    </row>
    <row r="65" spans="1:8">
      <c r="A65" s="23">
        <v>57</v>
      </c>
      <c r="B65" s="24" t="e">
        <f>#REF!</f>
        <v>#REF!</v>
      </c>
      <c r="C65" s="25" t="e">
        <f>#REF!</f>
        <v>#REF!</v>
      </c>
      <c r="D65" s="26" t="e">
        <f>#REF!</f>
        <v>#REF!</v>
      </c>
      <c r="E65" s="26" t="e">
        <f>#REF!</f>
        <v>#REF!</v>
      </c>
      <c r="F65" s="26" t="e">
        <f>IF(E65=0,0,1)</f>
        <v>#REF!</v>
      </c>
      <c r="G65" s="27" t="e">
        <f>IF(#REF!="〇",#REF!,#REF!)</f>
        <v>#REF!</v>
      </c>
      <c r="H65" s="27" t="e">
        <f t="shared" si="5"/>
        <v>#REF!</v>
      </c>
    </row>
    <row r="66" spans="1:8">
      <c r="A66" s="23">
        <v>58</v>
      </c>
      <c r="B66" s="24" t="e">
        <f>#REF!</f>
        <v>#REF!</v>
      </c>
      <c r="C66" s="25" t="e">
        <f>#REF!</f>
        <v>#REF!</v>
      </c>
      <c r="D66" s="26" t="e">
        <f>#REF!</f>
        <v>#REF!</v>
      </c>
      <c r="E66" s="26" t="s">
        <v>253</v>
      </c>
      <c r="F66" s="26" t="e">
        <f>#REF!</f>
        <v>#REF!</v>
      </c>
      <c r="G66" s="27">
        <f>IFERROR(VLOOKUP(D66,'データ（触らない）'!$R$21:$S$29,2,FALSE),0)</f>
        <v>0</v>
      </c>
      <c r="H66" s="27" t="e">
        <f t="shared" si="5"/>
        <v>#REF!</v>
      </c>
    </row>
    <row r="67" spans="1:8">
      <c r="A67" s="23">
        <v>59</v>
      </c>
      <c r="B67" s="24" t="e">
        <f>#REF!</f>
        <v>#REF!</v>
      </c>
      <c r="C67" s="25" t="e">
        <f>#REF!</f>
        <v>#REF!</v>
      </c>
      <c r="D67" s="26" t="e">
        <f>#REF!</f>
        <v>#REF!</v>
      </c>
      <c r="E67" s="26" t="s">
        <v>253</v>
      </c>
      <c r="F67" s="26" t="e">
        <f>#REF!</f>
        <v>#REF!</v>
      </c>
      <c r="G67" s="27">
        <f>IFERROR(VLOOKUP(D67,'データ（触らない）'!$R$21:$S$29,2,FALSE),0)</f>
        <v>0</v>
      </c>
      <c r="H67" s="27" t="e">
        <f t="shared" si="5"/>
        <v>#REF!</v>
      </c>
    </row>
    <row r="68" spans="1:8">
      <c r="A68" s="23">
        <v>60</v>
      </c>
      <c r="B68" s="24" t="e">
        <f>#REF!</f>
        <v>#REF!</v>
      </c>
      <c r="C68" s="25" t="e">
        <f>#REF!</f>
        <v>#REF!</v>
      </c>
      <c r="D68" s="26" t="e">
        <f>#REF!</f>
        <v>#REF!</v>
      </c>
      <c r="E68" s="26" t="s">
        <v>253</v>
      </c>
      <c r="F68" s="26" t="e">
        <f>#REF!</f>
        <v>#REF!</v>
      </c>
      <c r="G68" s="27">
        <f>IFERROR(VLOOKUP(D68,'データ（触らない）'!$R$21:$S$29,2,FALSE),0)</f>
        <v>0</v>
      </c>
      <c r="H68" s="27" t="e">
        <f t="shared" si="5"/>
        <v>#REF!</v>
      </c>
    </row>
    <row r="69" spans="1:8">
      <c r="A69" s="23">
        <v>61</v>
      </c>
      <c r="B69" s="24" t="e">
        <f>#REF!</f>
        <v>#REF!</v>
      </c>
      <c r="C69" s="25" t="e">
        <f>#REF!</f>
        <v>#REF!</v>
      </c>
      <c r="D69" s="26" t="e">
        <f>#REF!</f>
        <v>#REF!</v>
      </c>
      <c r="E69" s="26" t="s">
        <v>253</v>
      </c>
      <c r="F69" s="26" t="e">
        <f>#REF!</f>
        <v>#REF!</v>
      </c>
      <c r="G69" s="27">
        <f>IFERROR(VLOOKUP(D69,'データ（触らない）'!$R$21:$S$29,2,FALSE),0)</f>
        <v>0</v>
      </c>
      <c r="H69" s="27" t="e">
        <f t="shared" si="5"/>
        <v>#REF!</v>
      </c>
    </row>
    <row r="70" spans="1:8">
      <c r="A70" s="23">
        <v>62</v>
      </c>
      <c r="B70" s="24" t="e">
        <f>#REF!</f>
        <v>#REF!</v>
      </c>
      <c r="C70" s="25" t="e">
        <f>#REF!</f>
        <v>#REF!</v>
      </c>
      <c r="D70" s="26" t="e">
        <f>#REF!</f>
        <v>#REF!</v>
      </c>
      <c r="E70" s="26" t="s">
        <v>253</v>
      </c>
      <c r="F70" s="26" t="e">
        <f>#REF!</f>
        <v>#REF!</v>
      </c>
      <c r="G70" s="27">
        <f>IFERROR(VLOOKUP(D70,'データ（触らない）'!$R$21:$S$29,2,FALSE),0)</f>
        <v>0</v>
      </c>
      <c r="H70" s="27" t="e">
        <f t="shared" si="5"/>
        <v>#REF!</v>
      </c>
    </row>
    <row r="71" spans="1:8">
      <c r="A71" s="23">
        <v>63</v>
      </c>
      <c r="B71" s="24" t="e">
        <f>#REF!</f>
        <v>#REF!</v>
      </c>
      <c r="C71" s="25" t="e">
        <f>#REF!</f>
        <v>#REF!</v>
      </c>
      <c r="D71" s="26" t="e">
        <f>#REF!</f>
        <v>#REF!</v>
      </c>
      <c r="E71" s="26" t="s">
        <v>253</v>
      </c>
      <c r="F71" s="26" t="e">
        <f>#REF!</f>
        <v>#REF!</v>
      </c>
      <c r="G71" s="27">
        <f>IFERROR(VLOOKUP(D71,'データ（触らない）'!$R$21:$S$29,2,FALSE),0)</f>
        <v>0</v>
      </c>
      <c r="H71" s="27" t="e">
        <f t="shared" si="5"/>
        <v>#REF!</v>
      </c>
    </row>
    <row r="72" spans="1:8">
      <c r="A72" s="23">
        <v>64</v>
      </c>
      <c r="B72" s="24" t="e">
        <f>#REF!</f>
        <v>#REF!</v>
      </c>
      <c r="C72" s="25" t="e">
        <f>#REF!</f>
        <v>#REF!</v>
      </c>
      <c r="D72" s="26" t="e">
        <f>#REF!</f>
        <v>#REF!</v>
      </c>
      <c r="E72" s="26" t="e">
        <f>#REF!</f>
        <v>#REF!</v>
      </c>
      <c r="F72" s="26" t="e">
        <f t="shared" ref="F72" si="6">IF(E72=0,0,1)</f>
        <v>#REF!</v>
      </c>
      <c r="G72" s="27" t="e">
        <f>IF(#REF!="〇",#REF!,#REF!)</f>
        <v>#REF!</v>
      </c>
      <c r="H72" s="27" t="e">
        <f t="shared" si="5"/>
        <v>#REF!</v>
      </c>
    </row>
    <row r="73" spans="1:8">
      <c r="A73" s="23">
        <v>65</v>
      </c>
      <c r="B73" s="24" t="e">
        <f>#REF!</f>
        <v>#REF!</v>
      </c>
      <c r="C73" s="25" t="e">
        <f>#REF!</f>
        <v>#REF!</v>
      </c>
      <c r="D73" s="26" t="e">
        <f>#REF!</f>
        <v>#REF!</v>
      </c>
      <c r="E73" s="26" t="s">
        <v>253</v>
      </c>
      <c r="F73" s="26" t="e">
        <f>#REF!</f>
        <v>#REF!</v>
      </c>
      <c r="G73" s="27">
        <f>IFERROR(VLOOKUP(D73,'データ（触らない）'!$R$33:$S$40,2,FALSE),0)</f>
        <v>0</v>
      </c>
      <c r="H73" s="27" t="e">
        <f t="shared" si="5"/>
        <v>#REF!</v>
      </c>
    </row>
    <row r="74" spans="1:8">
      <c r="A74" s="23">
        <v>66</v>
      </c>
      <c r="B74" s="24" t="e">
        <f>#REF!</f>
        <v>#REF!</v>
      </c>
      <c r="C74" s="25" t="e">
        <f>#REF!</f>
        <v>#REF!</v>
      </c>
      <c r="D74" s="26" t="e">
        <f>#REF!</f>
        <v>#REF!</v>
      </c>
      <c r="E74" s="26" t="s">
        <v>253</v>
      </c>
      <c r="F74" s="26" t="e">
        <f>#REF!</f>
        <v>#REF!</v>
      </c>
      <c r="G74" s="27">
        <f>IFERROR(VLOOKUP(D74,'データ（触らない）'!$R$33:$S$40,2,FALSE),0)</f>
        <v>0</v>
      </c>
      <c r="H74" s="27" t="e">
        <f t="shared" si="5"/>
        <v>#REF!</v>
      </c>
    </row>
    <row r="75" spans="1:8">
      <c r="A75" s="23">
        <v>67</v>
      </c>
      <c r="B75" s="24" t="e">
        <f>#REF!</f>
        <v>#REF!</v>
      </c>
      <c r="C75" s="25" t="e">
        <f>#REF!</f>
        <v>#REF!</v>
      </c>
      <c r="D75" s="26" t="e">
        <f>#REF!</f>
        <v>#REF!</v>
      </c>
      <c r="E75" s="26" t="s">
        <v>253</v>
      </c>
      <c r="F75" s="26" t="e">
        <f>#REF!</f>
        <v>#REF!</v>
      </c>
      <c r="G75" s="27">
        <f>IFERROR(VLOOKUP(D75,'データ（触らない）'!$R$33:$S$40,2,FALSE),0)</f>
        <v>0</v>
      </c>
      <c r="H75" s="27" t="e">
        <f t="shared" si="5"/>
        <v>#REF!</v>
      </c>
    </row>
    <row r="76" spans="1:8">
      <c r="A76" s="23">
        <v>68</v>
      </c>
      <c r="B76" s="24" t="e">
        <f>#REF!</f>
        <v>#REF!</v>
      </c>
      <c r="C76" s="25" t="e">
        <f>#REF!</f>
        <v>#REF!</v>
      </c>
      <c r="D76" s="26" t="e">
        <f>#REF!</f>
        <v>#REF!</v>
      </c>
      <c r="E76" s="26" t="s">
        <v>253</v>
      </c>
      <c r="F76" s="26" t="e">
        <f>#REF!</f>
        <v>#REF!</v>
      </c>
      <c r="G76" s="27">
        <f>IFERROR(VLOOKUP(D76,'データ（触らない）'!$R$33:$S$40,2,FALSE),0)</f>
        <v>0</v>
      </c>
      <c r="H76" s="27" t="e">
        <f t="shared" si="5"/>
        <v>#REF!</v>
      </c>
    </row>
    <row r="77" spans="1:8">
      <c r="A77" s="23">
        <v>69</v>
      </c>
      <c r="B77" s="24" t="e">
        <f>#REF!</f>
        <v>#REF!</v>
      </c>
      <c r="C77" s="25" t="e">
        <f>#REF!</f>
        <v>#REF!</v>
      </c>
      <c r="D77" s="26" t="e">
        <f>#REF!</f>
        <v>#REF!</v>
      </c>
      <c r="E77" s="26" t="s">
        <v>253</v>
      </c>
      <c r="F77" s="26" t="e">
        <f>#REF!</f>
        <v>#REF!</v>
      </c>
      <c r="G77" s="27">
        <f>IFERROR(VLOOKUP(D77,'データ（触らない）'!$R$33:$S$40,2,FALSE),0)</f>
        <v>0</v>
      </c>
      <c r="H77" s="27" t="e">
        <f t="shared" si="5"/>
        <v>#REF!</v>
      </c>
    </row>
    <row r="78" spans="1:8">
      <c r="A78" s="23">
        <v>70</v>
      </c>
      <c r="B78" s="24" t="e">
        <f>#REF!</f>
        <v>#REF!</v>
      </c>
      <c r="C78" s="25" t="e">
        <f>#REF!</f>
        <v>#REF!</v>
      </c>
      <c r="D78" s="26" t="e">
        <f>#REF!</f>
        <v>#REF!</v>
      </c>
      <c r="E78" s="26" t="s">
        <v>253</v>
      </c>
      <c r="F78" s="26" t="e">
        <f>#REF!</f>
        <v>#REF!</v>
      </c>
      <c r="G78" s="27">
        <f>IFERROR(VLOOKUP(D78,'データ（触らない）'!$R$44:$S$60,2,FALSE),0)</f>
        <v>0</v>
      </c>
      <c r="H78" s="27" t="e">
        <f t="shared" si="5"/>
        <v>#REF!</v>
      </c>
    </row>
    <row r="79" spans="1:8">
      <c r="A79" s="23">
        <v>71</v>
      </c>
      <c r="B79" s="24" t="e">
        <f>#REF!</f>
        <v>#REF!</v>
      </c>
      <c r="C79" s="25" t="e">
        <f>#REF!</f>
        <v>#REF!</v>
      </c>
      <c r="D79" s="26" t="e">
        <f>#REF!</f>
        <v>#REF!</v>
      </c>
      <c r="E79" s="26" t="s">
        <v>253</v>
      </c>
      <c r="F79" s="26" t="e">
        <f>#REF!</f>
        <v>#REF!</v>
      </c>
      <c r="G79" s="27">
        <f>IFERROR(VLOOKUP(D79,'データ（触らない）'!$R$44:$S$60,2,FALSE),0)</f>
        <v>0</v>
      </c>
      <c r="H79" s="27" t="e">
        <f t="shared" si="5"/>
        <v>#REF!</v>
      </c>
    </row>
    <row r="80" spans="1:8">
      <c r="A80" s="23">
        <v>72</v>
      </c>
      <c r="B80" s="24" t="e">
        <f>#REF!</f>
        <v>#REF!</v>
      </c>
      <c r="C80" s="25" t="e">
        <f>#REF!</f>
        <v>#REF!</v>
      </c>
      <c r="D80" s="26" t="e">
        <f>#REF!</f>
        <v>#REF!</v>
      </c>
      <c r="E80" s="26" t="s">
        <v>253</v>
      </c>
      <c r="F80" s="26" t="e">
        <f>#REF!</f>
        <v>#REF!</v>
      </c>
      <c r="G80" s="27">
        <f>IFERROR(VLOOKUP(D80,'データ（触らない）'!$R$44:$S$60,2,FALSE),0)</f>
        <v>0</v>
      </c>
      <c r="H80" s="27" t="e">
        <f t="shared" si="5"/>
        <v>#REF!</v>
      </c>
    </row>
    <row r="81" spans="1:8">
      <c r="A81" s="23">
        <v>73</v>
      </c>
      <c r="B81" s="24" t="e">
        <f>#REF!</f>
        <v>#REF!</v>
      </c>
      <c r="C81" s="25" t="e">
        <f>#REF!</f>
        <v>#REF!</v>
      </c>
      <c r="D81" s="26" t="e">
        <f>#REF!</f>
        <v>#REF!</v>
      </c>
      <c r="E81" s="26" t="s">
        <v>253</v>
      </c>
      <c r="F81" s="26" t="e">
        <f>#REF!</f>
        <v>#REF!</v>
      </c>
      <c r="G81" s="27">
        <f>IFERROR(VLOOKUP(D81,'データ（触らない）'!$R$44:$S$60,2,FALSE),0)</f>
        <v>0</v>
      </c>
      <c r="H81" s="27" t="e">
        <f t="shared" si="5"/>
        <v>#REF!</v>
      </c>
    </row>
    <row r="82" spans="1:8">
      <c r="A82" s="23">
        <v>74</v>
      </c>
      <c r="B82" s="24" t="e">
        <f>#REF!</f>
        <v>#REF!</v>
      </c>
      <c r="C82" s="25" t="e">
        <f>#REF!</f>
        <v>#REF!</v>
      </c>
      <c r="D82" s="26" t="e">
        <f>#REF!</f>
        <v>#REF!</v>
      </c>
      <c r="E82" s="26" t="s">
        <v>253</v>
      </c>
      <c r="F82" s="26" t="e">
        <f>#REF!</f>
        <v>#REF!</v>
      </c>
      <c r="G82" s="27">
        <f>IFERROR(VLOOKUP(D82,'データ（触らない）'!$R$44:$S$60,2,FALSE),0)</f>
        <v>0</v>
      </c>
      <c r="H82" s="27" t="e">
        <f t="shared" si="5"/>
        <v>#REF!</v>
      </c>
    </row>
    <row r="83" spans="1:8">
      <c r="A83" s="23">
        <v>75</v>
      </c>
      <c r="B83" s="24" t="e">
        <f>#REF!</f>
        <v>#REF!</v>
      </c>
      <c r="C83" s="25" t="e">
        <f>#REF!</f>
        <v>#REF!</v>
      </c>
      <c r="D83" s="26" t="e">
        <f>#REF!</f>
        <v>#REF!</v>
      </c>
      <c r="E83" s="26" t="s">
        <v>253</v>
      </c>
      <c r="F83" s="26" t="e">
        <f>#REF!</f>
        <v>#REF!</v>
      </c>
      <c r="G83" s="27">
        <f>IFERROR(VLOOKUP(D83,'データ（触らない）'!$R$44:$S$60,2,FALSE),0)</f>
        <v>0</v>
      </c>
      <c r="H83" s="27" t="e">
        <f t="shared" si="5"/>
        <v>#REF!</v>
      </c>
    </row>
    <row r="84" spans="1:8">
      <c r="A84" s="23">
        <v>76</v>
      </c>
      <c r="B84" s="24" t="e">
        <f>#REF!</f>
        <v>#REF!</v>
      </c>
      <c r="C84" s="25" t="e">
        <f>#REF!</f>
        <v>#REF!</v>
      </c>
      <c r="D84" s="26" t="e">
        <f>#REF!</f>
        <v>#REF!</v>
      </c>
      <c r="E84" s="26" t="s">
        <v>253</v>
      </c>
      <c r="F84" s="26" t="e">
        <f>#REF!</f>
        <v>#REF!</v>
      </c>
      <c r="G84" s="27">
        <f>IFERROR(VLOOKUP(D84,'データ（触らない）'!$R$44:$S$60,2,FALSE),0)</f>
        <v>0</v>
      </c>
      <c r="H84" s="27" t="e">
        <f t="shared" si="5"/>
        <v>#REF!</v>
      </c>
    </row>
    <row r="85" spans="1:8">
      <c r="A85" s="23">
        <v>77</v>
      </c>
      <c r="B85" s="24" t="e">
        <f>#REF!</f>
        <v>#REF!</v>
      </c>
      <c r="C85" s="25" t="e">
        <f>#REF!</f>
        <v>#REF!</v>
      </c>
      <c r="D85" s="26" t="e">
        <f>#REF!</f>
        <v>#REF!</v>
      </c>
      <c r="E85" s="26" t="s">
        <v>253</v>
      </c>
      <c r="F85" s="26" t="e">
        <f>#REF!</f>
        <v>#REF!</v>
      </c>
      <c r="G85" s="27">
        <f>IFERROR(VLOOKUP(D85,'データ（触らない）'!$R$44:$S$60,2,FALSE),0)</f>
        <v>0</v>
      </c>
      <c r="H85" s="27" t="e">
        <f t="shared" si="5"/>
        <v>#REF!</v>
      </c>
    </row>
    <row r="86" spans="1:8">
      <c r="A86" s="23">
        <v>78</v>
      </c>
      <c r="B86" s="24" t="e">
        <f>#REF!</f>
        <v>#REF!</v>
      </c>
      <c r="C86" s="25" t="e">
        <f>#REF!</f>
        <v>#REF!</v>
      </c>
      <c r="D86" s="26" t="e">
        <f>#REF!</f>
        <v>#REF!</v>
      </c>
      <c r="E86" s="26" t="s">
        <v>253</v>
      </c>
      <c r="F86" s="26" t="e">
        <f>#REF!</f>
        <v>#REF!</v>
      </c>
      <c r="G86" s="27">
        <f>IFERROR(VLOOKUP(D86,'データ（触らない）'!$R$44:$S$60,2,FALSE),0)</f>
        <v>0</v>
      </c>
      <c r="H86" s="27" t="e">
        <f t="shared" si="5"/>
        <v>#REF!</v>
      </c>
    </row>
    <row r="87" spans="1:8">
      <c r="A87" s="23">
        <v>79</v>
      </c>
      <c r="B87" s="24" t="e">
        <f>#REF!</f>
        <v>#REF!</v>
      </c>
      <c r="C87" s="25" t="e">
        <f>#REF!</f>
        <v>#REF!</v>
      </c>
      <c r="D87" s="26" t="e">
        <f>#REF!</f>
        <v>#REF!</v>
      </c>
      <c r="E87" s="26" t="s">
        <v>253</v>
      </c>
      <c r="F87" s="26" t="e">
        <f>#REF!</f>
        <v>#REF!</v>
      </c>
      <c r="G87" s="27">
        <f>IFERROR(VLOOKUP(D87,'データ（触らない）'!$R$44:$S$60,2,FALSE),0)</f>
        <v>0</v>
      </c>
      <c r="H87" s="27" t="e">
        <f t="shared" si="5"/>
        <v>#REF!</v>
      </c>
    </row>
    <row r="88" spans="1:8">
      <c r="A88" s="23">
        <v>80</v>
      </c>
      <c r="B88" s="24" t="e">
        <f>#REF!</f>
        <v>#REF!</v>
      </c>
      <c r="C88" s="25" t="e">
        <f>#REF!</f>
        <v>#REF!</v>
      </c>
      <c r="D88" s="26" t="e">
        <f>#REF!</f>
        <v>#REF!</v>
      </c>
      <c r="E88" s="26" t="s">
        <v>253</v>
      </c>
      <c r="F88" s="26" t="e">
        <f>#REF!</f>
        <v>#REF!</v>
      </c>
      <c r="G88" s="27">
        <f>IFERROR(VLOOKUP(D88,'データ（触らない）'!$R$44:$S$60,2,FALSE),0)</f>
        <v>0</v>
      </c>
      <c r="H88" s="27" t="e">
        <f t="shared" si="5"/>
        <v>#REF!</v>
      </c>
    </row>
    <row r="89" spans="1:8">
      <c r="A89" s="23">
        <v>81</v>
      </c>
      <c r="B89" s="24" t="e">
        <f>#REF!</f>
        <v>#REF!</v>
      </c>
      <c r="C89" s="25" t="e">
        <f>#REF!</f>
        <v>#REF!</v>
      </c>
      <c r="D89" s="26" t="e">
        <f>#REF!</f>
        <v>#REF!</v>
      </c>
      <c r="E89" s="26" t="s">
        <v>253</v>
      </c>
      <c r="F89" s="26" t="e">
        <f>#REF!</f>
        <v>#REF!</v>
      </c>
      <c r="G89" s="27">
        <f>IFERROR(VLOOKUP(D89,'データ（触らない）'!$R$44:$S$60,2,FALSE),0)</f>
        <v>0</v>
      </c>
      <c r="H89" s="27" t="e">
        <f t="shared" si="5"/>
        <v>#REF!</v>
      </c>
    </row>
    <row r="90" spans="1:8">
      <c r="A90" s="23">
        <v>82</v>
      </c>
      <c r="B90" s="24" t="e">
        <f>#REF!</f>
        <v>#REF!</v>
      </c>
      <c r="C90" s="25" t="e">
        <f>#REF!</f>
        <v>#REF!</v>
      </c>
      <c r="D90" s="26" t="e">
        <f>#REF!</f>
        <v>#REF!</v>
      </c>
      <c r="E90" s="26" t="s">
        <v>253</v>
      </c>
      <c r="F90" s="26" t="e">
        <f>#REF!</f>
        <v>#REF!</v>
      </c>
      <c r="G90" s="27">
        <f>IFERROR(VLOOKUP(D90,'データ（触らない）'!$R$44:$S$60,2,FALSE),0)</f>
        <v>0</v>
      </c>
      <c r="H90" s="27" t="e">
        <f t="shared" si="5"/>
        <v>#REF!</v>
      </c>
    </row>
    <row r="91" spans="1:8">
      <c r="A91">
        <v>83</v>
      </c>
      <c r="B91" s="21" t="e">
        <f>#REF!</f>
        <v>#REF!</v>
      </c>
      <c r="C91" s="20" t="e">
        <f>#REF!</f>
        <v>#REF!</v>
      </c>
      <c r="D91" s="1" t="e">
        <f>#REF!</f>
        <v>#REF!</v>
      </c>
      <c r="E91" s="1" t="e">
        <f>#REF!</f>
        <v>#REF!</v>
      </c>
      <c r="F91" s="1" t="e">
        <f>IF(E91=0,0,1)</f>
        <v>#REF!</v>
      </c>
      <c r="G91" s="22" t="e">
        <f>IF(#REF!="〇",#REF!,#REF!)</f>
        <v>#REF!</v>
      </c>
      <c r="H91" s="22" t="e">
        <f>F91*G91</f>
        <v>#REF!</v>
      </c>
    </row>
    <row r="92" spans="1:8">
      <c r="A92">
        <v>84</v>
      </c>
      <c r="B92" s="21" t="e">
        <f>#REF!</f>
        <v>#REF!</v>
      </c>
      <c r="C92" s="20" t="e">
        <f>#REF!</f>
        <v>#REF!</v>
      </c>
      <c r="D92" s="1" t="e">
        <f>#REF!</f>
        <v>#REF!</v>
      </c>
      <c r="E92" s="1" t="e">
        <f>#REF!</f>
        <v>#REF!</v>
      </c>
      <c r="F92" s="1" t="e">
        <f t="shared" ref="F92:F95" si="7">IF(E92=0,0,1)</f>
        <v>#REF!</v>
      </c>
      <c r="G92" s="22" t="e">
        <f>IF(#REF!="〇",#REF!,#REF!)</f>
        <v>#REF!</v>
      </c>
      <c r="H92" s="22" t="e">
        <f t="shared" ref="H92:H131" si="8">F92*G92</f>
        <v>#REF!</v>
      </c>
    </row>
    <row r="93" spans="1:8">
      <c r="A93">
        <v>85</v>
      </c>
      <c r="B93" s="21" t="e">
        <f>#REF!</f>
        <v>#REF!</v>
      </c>
      <c r="C93" s="20" t="e">
        <f>#REF!</f>
        <v>#REF!</v>
      </c>
      <c r="D93" s="1" t="e">
        <f>#REF!</f>
        <v>#REF!</v>
      </c>
      <c r="E93" s="1" t="e">
        <f>#REF!</f>
        <v>#REF!</v>
      </c>
      <c r="F93" s="1" t="e">
        <f t="shared" si="7"/>
        <v>#REF!</v>
      </c>
      <c r="G93" s="22" t="e">
        <f>IF(#REF!="〇",#REF!,#REF!)</f>
        <v>#REF!</v>
      </c>
      <c r="H93" s="22" t="e">
        <f t="shared" si="8"/>
        <v>#REF!</v>
      </c>
    </row>
    <row r="94" spans="1:8">
      <c r="A94">
        <v>86</v>
      </c>
      <c r="B94" s="21" t="e">
        <f>#REF!</f>
        <v>#REF!</v>
      </c>
      <c r="C94" s="20" t="e">
        <f>#REF!</f>
        <v>#REF!</v>
      </c>
      <c r="D94" s="1" t="e">
        <f>#REF!</f>
        <v>#REF!</v>
      </c>
      <c r="E94" s="1" t="e">
        <f>#REF!</f>
        <v>#REF!</v>
      </c>
      <c r="F94" s="1" t="e">
        <f t="shared" si="7"/>
        <v>#REF!</v>
      </c>
      <c r="G94" s="22" t="e">
        <f>IF(#REF!="〇",#REF!,#REF!)</f>
        <v>#REF!</v>
      </c>
      <c r="H94" s="22" t="e">
        <f t="shared" si="8"/>
        <v>#REF!</v>
      </c>
    </row>
    <row r="95" spans="1:8">
      <c r="A95">
        <v>87</v>
      </c>
      <c r="B95" s="21" t="e">
        <f>#REF!</f>
        <v>#REF!</v>
      </c>
      <c r="C95" s="20" t="e">
        <f>#REF!</f>
        <v>#REF!</v>
      </c>
      <c r="D95" s="1" t="e">
        <f>#REF!</f>
        <v>#REF!</v>
      </c>
      <c r="E95" s="1" t="e">
        <f>#REF!&amp;"～"&amp;#REF!</f>
        <v>#REF!</v>
      </c>
      <c r="F95" s="1" t="e">
        <f t="shared" si="7"/>
        <v>#REF!</v>
      </c>
      <c r="G95" s="22" t="e">
        <f>IF(#REF!="〇",#REF!,#REF!)</f>
        <v>#REF!</v>
      </c>
      <c r="H95" s="22" t="e">
        <f t="shared" si="8"/>
        <v>#REF!</v>
      </c>
    </row>
    <row r="96" spans="1:8">
      <c r="A96">
        <v>88</v>
      </c>
      <c r="B96" s="21" t="e">
        <f>#REF!</f>
        <v>#REF!</v>
      </c>
      <c r="C96" s="20" t="e">
        <f>#REF!</f>
        <v>#REF!</v>
      </c>
      <c r="D96" s="1" t="e">
        <f>#REF!</f>
        <v>#REF!</v>
      </c>
      <c r="E96" s="1" t="s">
        <v>252</v>
      </c>
      <c r="F96" s="1" t="e">
        <f>#REF!</f>
        <v>#REF!</v>
      </c>
      <c r="G96" s="22">
        <f>IFERROR(VLOOKUP(D96,'データ（触らない）'!$R$3:$S$17,2,FALSE),0)</f>
        <v>0</v>
      </c>
      <c r="H96" s="22" t="e">
        <f t="shared" si="8"/>
        <v>#REF!</v>
      </c>
    </row>
    <row r="97" spans="1:8">
      <c r="A97">
        <v>89</v>
      </c>
      <c r="B97" s="21" t="e">
        <f>#REF!</f>
        <v>#REF!</v>
      </c>
      <c r="C97" s="20" t="e">
        <f>#REF!</f>
        <v>#REF!</v>
      </c>
      <c r="D97" s="1" t="e">
        <f>#REF!</f>
        <v>#REF!</v>
      </c>
      <c r="E97" s="1" t="s">
        <v>252</v>
      </c>
      <c r="F97" s="1" t="e">
        <f>#REF!</f>
        <v>#REF!</v>
      </c>
      <c r="G97" s="22">
        <f>IFERROR(VLOOKUP(D97,'データ（触らない）'!$R$3:$S$17,2,FALSE),0)</f>
        <v>0</v>
      </c>
      <c r="H97" s="22" t="e">
        <f t="shared" si="8"/>
        <v>#REF!</v>
      </c>
    </row>
    <row r="98" spans="1:8">
      <c r="A98">
        <v>90</v>
      </c>
      <c r="B98" s="21" t="e">
        <f>#REF!</f>
        <v>#REF!</v>
      </c>
      <c r="C98" s="20" t="e">
        <f>#REF!</f>
        <v>#REF!</v>
      </c>
      <c r="D98" s="1" t="e">
        <f>#REF!</f>
        <v>#REF!</v>
      </c>
      <c r="E98" s="1" t="s">
        <v>252</v>
      </c>
      <c r="F98" s="1" t="e">
        <f>#REF!</f>
        <v>#REF!</v>
      </c>
      <c r="G98" s="22">
        <f>IFERROR(VLOOKUP(D98,'データ（触らない）'!$R$3:$S$17,2,FALSE),0)</f>
        <v>0</v>
      </c>
      <c r="H98" s="22" t="e">
        <f t="shared" si="8"/>
        <v>#REF!</v>
      </c>
    </row>
    <row r="99" spans="1:8">
      <c r="A99">
        <v>91</v>
      </c>
      <c r="B99" s="21" t="e">
        <f>#REF!</f>
        <v>#REF!</v>
      </c>
      <c r="C99" s="20" t="e">
        <f>#REF!</f>
        <v>#REF!</v>
      </c>
      <c r="D99" s="1" t="e">
        <f>#REF!</f>
        <v>#REF!</v>
      </c>
      <c r="E99" s="1" t="s">
        <v>252</v>
      </c>
      <c r="F99" s="1" t="e">
        <f>#REF!</f>
        <v>#REF!</v>
      </c>
      <c r="G99" s="22">
        <f>IFERROR(VLOOKUP(D99,'データ（触らない）'!$R$3:$S$17,2,FALSE),0)</f>
        <v>0</v>
      </c>
      <c r="H99" s="22" t="e">
        <f t="shared" si="8"/>
        <v>#REF!</v>
      </c>
    </row>
    <row r="100" spans="1:8">
      <c r="A100">
        <v>92</v>
      </c>
      <c r="B100" s="21" t="e">
        <f>#REF!</f>
        <v>#REF!</v>
      </c>
      <c r="C100" s="20" t="e">
        <f>#REF!</f>
        <v>#REF!</v>
      </c>
      <c r="D100" s="1" t="e">
        <f>#REF!</f>
        <v>#REF!</v>
      </c>
      <c r="E100" s="1" t="s">
        <v>252</v>
      </c>
      <c r="F100" s="1" t="e">
        <f>#REF!</f>
        <v>#REF!</v>
      </c>
      <c r="G100" s="22">
        <f>IFERROR(VLOOKUP(D100,'データ（触らない）'!$R$3:$S$17,2,FALSE),0)</f>
        <v>0</v>
      </c>
      <c r="H100" s="22" t="e">
        <f t="shared" si="8"/>
        <v>#REF!</v>
      </c>
    </row>
    <row r="101" spans="1:8">
      <c r="A101">
        <v>93</v>
      </c>
      <c r="B101" s="21" t="e">
        <f>#REF!</f>
        <v>#REF!</v>
      </c>
      <c r="C101" s="20" t="e">
        <f>#REF!</f>
        <v>#REF!</v>
      </c>
      <c r="D101" s="1" t="e">
        <f>#REF!</f>
        <v>#REF!</v>
      </c>
      <c r="E101" s="1" t="s">
        <v>252</v>
      </c>
      <c r="F101" s="1" t="e">
        <f>#REF!</f>
        <v>#REF!</v>
      </c>
      <c r="G101" s="22">
        <f>IFERROR(VLOOKUP(D101,'データ（触らない）'!$R$3:$S$17,2,FALSE),0)</f>
        <v>0</v>
      </c>
      <c r="H101" s="22" t="e">
        <f t="shared" si="8"/>
        <v>#REF!</v>
      </c>
    </row>
    <row r="102" spans="1:8">
      <c r="A102">
        <v>94</v>
      </c>
      <c r="B102" s="21" t="e">
        <f>#REF!</f>
        <v>#REF!</v>
      </c>
      <c r="C102" s="20" t="e">
        <f>#REF!</f>
        <v>#REF!</v>
      </c>
      <c r="D102" s="1" t="e">
        <f>#REF!</f>
        <v>#REF!</v>
      </c>
      <c r="E102" s="1" t="s">
        <v>252</v>
      </c>
      <c r="F102" s="1" t="e">
        <f>#REF!</f>
        <v>#REF!</v>
      </c>
      <c r="G102" s="22">
        <f>IFERROR(VLOOKUP(D102,'データ（触らない）'!$R$3:$S$17,2,FALSE),0)</f>
        <v>0</v>
      </c>
      <c r="H102" s="22" t="e">
        <f t="shared" si="8"/>
        <v>#REF!</v>
      </c>
    </row>
    <row r="103" spans="1:8">
      <c r="A103">
        <v>95</v>
      </c>
      <c r="B103" s="21" t="e">
        <f>#REF!</f>
        <v>#REF!</v>
      </c>
      <c r="C103" s="20" t="e">
        <f>#REF!</f>
        <v>#REF!</v>
      </c>
      <c r="D103" s="1" t="e">
        <f>#REF!</f>
        <v>#REF!</v>
      </c>
      <c r="E103" s="1" t="s">
        <v>252</v>
      </c>
      <c r="F103" s="1" t="e">
        <f>#REF!</f>
        <v>#REF!</v>
      </c>
      <c r="G103" s="22">
        <f>IFERROR(VLOOKUP(D103,'データ（触らない）'!$R$3:$S$17,2,FALSE),0)</f>
        <v>0</v>
      </c>
      <c r="H103" s="22" t="e">
        <f t="shared" si="8"/>
        <v>#REF!</v>
      </c>
    </row>
    <row r="104" spans="1:8">
      <c r="A104">
        <v>96</v>
      </c>
      <c r="B104" s="21" t="e">
        <f>#REF!</f>
        <v>#REF!</v>
      </c>
      <c r="C104" s="20" t="e">
        <f>#REF!</f>
        <v>#REF!</v>
      </c>
      <c r="D104" s="1" t="e">
        <f>#REF!</f>
        <v>#REF!</v>
      </c>
      <c r="E104" s="1" t="s">
        <v>252</v>
      </c>
      <c r="F104" s="1" t="e">
        <f>#REF!</f>
        <v>#REF!</v>
      </c>
      <c r="G104" s="22">
        <f>IFERROR(VLOOKUP(D104,'データ（触らない）'!$R$3:$S$17,2,FALSE),0)</f>
        <v>0</v>
      </c>
      <c r="H104" s="22" t="e">
        <f t="shared" si="8"/>
        <v>#REF!</v>
      </c>
    </row>
    <row r="105" spans="1:8">
      <c r="A105">
        <v>97</v>
      </c>
      <c r="B105" s="21" t="e">
        <f>#REF!</f>
        <v>#REF!</v>
      </c>
      <c r="C105" s="20" t="e">
        <f>#REF!</f>
        <v>#REF!</v>
      </c>
      <c r="D105" s="1" t="e">
        <f>#REF!</f>
        <v>#REF!</v>
      </c>
      <c r="E105" s="1" t="s">
        <v>252</v>
      </c>
      <c r="F105" s="1" t="e">
        <f>#REF!</f>
        <v>#REF!</v>
      </c>
      <c r="G105" s="22">
        <f>IFERROR(VLOOKUP(D105,'データ（触らない）'!$R$3:$S$17,2,FALSE),0)</f>
        <v>0</v>
      </c>
      <c r="H105" s="22" t="e">
        <f t="shared" si="8"/>
        <v>#REF!</v>
      </c>
    </row>
    <row r="106" spans="1:8">
      <c r="A106">
        <v>98</v>
      </c>
      <c r="B106" s="21" t="e">
        <f>#REF!</f>
        <v>#REF!</v>
      </c>
      <c r="C106" s="20" t="e">
        <f>#REF!</f>
        <v>#REF!</v>
      </c>
      <c r="D106" s="1" t="e">
        <f>#REF!</f>
        <v>#REF!</v>
      </c>
      <c r="E106" s="1" t="e">
        <f>#REF!</f>
        <v>#REF!</v>
      </c>
      <c r="F106" s="1" t="e">
        <f>IF(E106=0,0,1)</f>
        <v>#REF!</v>
      </c>
      <c r="G106" s="22" t="e">
        <f>IF(#REF!="〇",#REF!,#REF!)</f>
        <v>#REF!</v>
      </c>
      <c r="H106" s="22" t="e">
        <f t="shared" si="8"/>
        <v>#REF!</v>
      </c>
    </row>
    <row r="107" spans="1:8">
      <c r="A107">
        <v>99</v>
      </c>
      <c r="B107" s="21" t="e">
        <f>#REF!</f>
        <v>#REF!</v>
      </c>
      <c r="C107" s="20" t="e">
        <f>#REF!</f>
        <v>#REF!</v>
      </c>
      <c r="D107" s="1" t="e">
        <f>#REF!</f>
        <v>#REF!</v>
      </c>
      <c r="E107" s="1" t="s">
        <v>252</v>
      </c>
      <c r="F107" s="1" t="e">
        <f>#REF!</f>
        <v>#REF!</v>
      </c>
      <c r="G107" s="22">
        <f>IFERROR(VLOOKUP(D107,'データ（触らない）'!$R$21:$S$29,2,FALSE),0)</f>
        <v>0</v>
      </c>
      <c r="H107" s="22" t="e">
        <f t="shared" si="8"/>
        <v>#REF!</v>
      </c>
    </row>
    <row r="108" spans="1:8">
      <c r="A108">
        <v>100</v>
      </c>
      <c r="B108" s="21" t="e">
        <f>#REF!</f>
        <v>#REF!</v>
      </c>
      <c r="C108" s="20" t="e">
        <f>#REF!</f>
        <v>#REF!</v>
      </c>
      <c r="D108" s="1" t="e">
        <f>#REF!</f>
        <v>#REF!</v>
      </c>
      <c r="E108" s="1" t="s">
        <v>252</v>
      </c>
      <c r="F108" s="1" t="e">
        <f>#REF!</f>
        <v>#REF!</v>
      </c>
      <c r="G108" s="22">
        <f>IFERROR(VLOOKUP(D108,'データ（触らない）'!$R$21:$S$29,2,FALSE),0)</f>
        <v>0</v>
      </c>
      <c r="H108" s="22" t="e">
        <f t="shared" si="8"/>
        <v>#REF!</v>
      </c>
    </row>
    <row r="109" spans="1:8">
      <c r="A109">
        <v>101</v>
      </c>
      <c r="B109" s="21" t="e">
        <f>#REF!</f>
        <v>#REF!</v>
      </c>
      <c r="C109" s="20" t="e">
        <f>#REF!</f>
        <v>#REF!</v>
      </c>
      <c r="D109" s="1" t="e">
        <f>#REF!</f>
        <v>#REF!</v>
      </c>
      <c r="E109" s="1" t="s">
        <v>252</v>
      </c>
      <c r="F109" s="1" t="e">
        <f>#REF!</f>
        <v>#REF!</v>
      </c>
      <c r="G109" s="22">
        <f>IFERROR(VLOOKUP(D109,'データ（触らない）'!$R$21:$S$29,2,FALSE),0)</f>
        <v>0</v>
      </c>
      <c r="H109" s="22" t="e">
        <f t="shared" si="8"/>
        <v>#REF!</v>
      </c>
    </row>
    <row r="110" spans="1:8">
      <c r="A110">
        <v>102</v>
      </c>
      <c r="B110" s="21" t="e">
        <f>#REF!</f>
        <v>#REF!</v>
      </c>
      <c r="C110" s="20" t="e">
        <f>#REF!</f>
        <v>#REF!</v>
      </c>
      <c r="D110" s="1" t="e">
        <f>#REF!</f>
        <v>#REF!</v>
      </c>
      <c r="E110" s="1" t="s">
        <v>252</v>
      </c>
      <c r="F110" s="1" t="e">
        <f>#REF!</f>
        <v>#REF!</v>
      </c>
      <c r="G110" s="22">
        <f>IFERROR(VLOOKUP(D110,'データ（触らない）'!$R$21:$S$29,2,FALSE),0)</f>
        <v>0</v>
      </c>
      <c r="H110" s="22" t="e">
        <f t="shared" si="8"/>
        <v>#REF!</v>
      </c>
    </row>
    <row r="111" spans="1:8">
      <c r="A111">
        <v>103</v>
      </c>
      <c r="B111" s="21" t="e">
        <f>#REF!</f>
        <v>#REF!</v>
      </c>
      <c r="C111" s="20" t="e">
        <f>#REF!</f>
        <v>#REF!</v>
      </c>
      <c r="D111" s="1" t="e">
        <f>#REF!</f>
        <v>#REF!</v>
      </c>
      <c r="E111" s="1" t="s">
        <v>252</v>
      </c>
      <c r="F111" s="1" t="e">
        <f>#REF!</f>
        <v>#REF!</v>
      </c>
      <c r="G111" s="22">
        <f>IFERROR(VLOOKUP(D111,'データ（触らない）'!$R$21:$S$29,2,FALSE),0)</f>
        <v>0</v>
      </c>
      <c r="H111" s="22" t="e">
        <f t="shared" si="8"/>
        <v>#REF!</v>
      </c>
    </row>
    <row r="112" spans="1:8">
      <c r="A112">
        <v>104</v>
      </c>
      <c r="B112" s="21" t="e">
        <f>#REF!</f>
        <v>#REF!</v>
      </c>
      <c r="C112" s="20" t="e">
        <f>#REF!</f>
        <v>#REF!</v>
      </c>
      <c r="D112" s="1" t="e">
        <f>#REF!</f>
        <v>#REF!</v>
      </c>
      <c r="E112" s="1" t="s">
        <v>252</v>
      </c>
      <c r="F112" s="1" t="e">
        <f>#REF!</f>
        <v>#REF!</v>
      </c>
      <c r="G112" s="22">
        <f>IFERROR(VLOOKUP(D112,'データ（触らない）'!$R$21:$S$29,2,FALSE),0)</f>
        <v>0</v>
      </c>
      <c r="H112" s="22" t="e">
        <f t="shared" si="8"/>
        <v>#REF!</v>
      </c>
    </row>
    <row r="113" spans="1:8">
      <c r="A113">
        <v>105</v>
      </c>
      <c r="B113" s="21" t="e">
        <f>#REF!</f>
        <v>#REF!</v>
      </c>
      <c r="C113" s="20" t="e">
        <f>#REF!</f>
        <v>#REF!</v>
      </c>
      <c r="D113" s="1" t="e">
        <f>#REF!</f>
        <v>#REF!</v>
      </c>
      <c r="E113" s="1" t="e">
        <f>#REF!</f>
        <v>#REF!</v>
      </c>
      <c r="F113" s="1" t="e">
        <f t="shared" ref="F113" si="9">IF(E113=0,0,1)</f>
        <v>#REF!</v>
      </c>
      <c r="G113" s="22" t="e">
        <f>IF(#REF!="〇",#REF!,#REF!)</f>
        <v>#REF!</v>
      </c>
      <c r="H113" s="22" t="e">
        <f t="shared" si="8"/>
        <v>#REF!</v>
      </c>
    </row>
    <row r="114" spans="1:8">
      <c r="A114">
        <v>106</v>
      </c>
      <c r="B114" s="21" t="e">
        <f>#REF!</f>
        <v>#REF!</v>
      </c>
      <c r="C114" s="20" t="e">
        <f>#REF!</f>
        <v>#REF!</v>
      </c>
      <c r="D114" s="1" t="e">
        <f>#REF!</f>
        <v>#REF!</v>
      </c>
      <c r="E114" s="1" t="s">
        <v>252</v>
      </c>
      <c r="F114" s="1" t="e">
        <f>#REF!</f>
        <v>#REF!</v>
      </c>
      <c r="G114" s="22">
        <f>IFERROR(VLOOKUP(D114,'データ（触らない）'!$R$33:$S$40,2,FALSE),0)</f>
        <v>0</v>
      </c>
      <c r="H114" s="22" t="e">
        <f t="shared" si="8"/>
        <v>#REF!</v>
      </c>
    </row>
    <row r="115" spans="1:8">
      <c r="A115">
        <v>107</v>
      </c>
      <c r="B115" s="21" t="e">
        <f>#REF!</f>
        <v>#REF!</v>
      </c>
      <c r="C115" s="20" t="e">
        <f>#REF!</f>
        <v>#REF!</v>
      </c>
      <c r="D115" s="1" t="e">
        <f>#REF!</f>
        <v>#REF!</v>
      </c>
      <c r="E115" s="1" t="s">
        <v>252</v>
      </c>
      <c r="F115" s="1" t="e">
        <f>#REF!</f>
        <v>#REF!</v>
      </c>
      <c r="G115" s="22">
        <f>IFERROR(VLOOKUP(D115,'データ（触らない）'!$R$33:$S$40,2,FALSE),0)</f>
        <v>0</v>
      </c>
      <c r="H115" s="22" t="e">
        <f t="shared" si="8"/>
        <v>#REF!</v>
      </c>
    </row>
    <row r="116" spans="1:8">
      <c r="A116">
        <v>108</v>
      </c>
      <c r="B116" s="21" t="e">
        <f>#REF!</f>
        <v>#REF!</v>
      </c>
      <c r="C116" s="20" t="e">
        <f>#REF!</f>
        <v>#REF!</v>
      </c>
      <c r="D116" s="1" t="e">
        <f>#REF!</f>
        <v>#REF!</v>
      </c>
      <c r="E116" s="1" t="s">
        <v>252</v>
      </c>
      <c r="F116" s="1" t="e">
        <f>#REF!</f>
        <v>#REF!</v>
      </c>
      <c r="G116" s="22">
        <f>IFERROR(VLOOKUP(D116,'データ（触らない）'!$R$33:$S$40,2,FALSE),0)</f>
        <v>0</v>
      </c>
      <c r="H116" s="22" t="e">
        <f t="shared" si="8"/>
        <v>#REF!</v>
      </c>
    </row>
    <row r="117" spans="1:8">
      <c r="A117">
        <v>109</v>
      </c>
      <c r="B117" s="21" t="e">
        <f>#REF!</f>
        <v>#REF!</v>
      </c>
      <c r="C117" s="20" t="e">
        <f>#REF!</f>
        <v>#REF!</v>
      </c>
      <c r="D117" s="1" t="e">
        <f>#REF!</f>
        <v>#REF!</v>
      </c>
      <c r="E117" s="1" t="s">
        <v>252</v>
      </c>
      <c r="F117" s="1" t="e">
        <f>#REF!</f>
        <v>#REF!</v>
      </c>
      <c r="G117" s="22">
        <f>IFERROR(VLOOKUP(D117,'データ（触らない）'!$R$33:$S$40,2,FALSE),0)</f>
        <v>0</v>
      </c>
      <c r="H117" s="22" t="e">
        <f t="shared" si="8"/>
        <v>#REF!</v>
      </c>
    </row>
    <row r="118" spans="1:8">
      <c r="A118">
        <v>110</v>
      </c>
      <c r="B118" s="21" t="e">
        <f>#REF!</f>
        <v>#REF!</v>
      </c>
      <c r="C118" s="20" t="e">
        <f>#REF!</f>
        <v>#REF!</v>
      </c>
      <c r="D118" s="1" t="e">
        <f>#REF!</f>
        <v>#REF!</v>
      </c>
      <c r="E118" s="1" t="s">
        <v>252</v>
      </c>
      <c r="F118" s="1" t="e">
        <f>#REF!</f>
        <v>#REF!</v>
      </c>
      <c r="G118" s="22">
        <f>IFERROR(VLOOKUP(D118,'データ（触らない）'!$R$33:$S$40,2,FALSE),0)</f>
        <v>0</v>
      </c>
      <c r="H118" s="22" t="e">
        <f t="shared" si="8"/>
        <v>#REF!</v>
      </c>
    </row>
    <row r="119" spans="1:8">
      <c r="A119">
        <v>111</v>
      </c>
      <c r="B119" s="21" t="e">
        <f>#REF!</f>
        <v>#REF!</v>
      </c>
      <c r="C119" s="20" t="e">
        <f>#REF!</f>
        <v>#REF!</v>
      </c>
      <c r="D119" s="1" t="e">
        <f>#REF!</f>
        <v>#REF!</v>
      </c>
      <c r="E119" s="1" t="s">
        <v>252</v>
      </c>
      <c r="F119" s="1" t="e">
        <f>#REF!</f>
        <v>#REF!</v>
      </c>
      <c r="G119" s="22">
        <f>IFERROR(VLOOKUP(D119,'データ（触らない）'!$R$44:$S$60,2,FALSE),0)</f>
        <v>0</v>
      </c>
      <c r="H119" s="22" t="e">
        <f t="shared" si="8"/>
        <v>#REF!</v>
      </c>
    </row>
    <row r="120" spans="1:8">
      <c r="A120">
        <v>112</v>
      </c>
      <c r="B120" s="21" t="e">
        <f>#REF!</f>
        <v>#REF!</v>
      </c>
      <c r="C120" s="20" t="e">
        <f>#REF!</f>
        <v>#REF!</v>
      </c>
      <c r="D120" s="1" t="e">
        <f>#REF!</f>
        <v>#REF!</v>
      </c>
      <c r="E120" s="1" t="s">
        <v>252</v>
      </c>
      <c r="F120" s="1" t="e">
        <f>#REF!</f>
        <v>#REF!</v>
      </c>
      <c r="G120" s="22">
        <f>IFERROR(VLOOKUP(D120,'データ（触らない）'!$R$44:$S$60,2,FALSE),0)</f>
        <v>0</v>
      </c>
      <c r="H120" s="22" t="e">
        <f t="shared" si="8"/>
        <v>#REF!</v>
      </c>
    </row>
    <row r="121" spans="1:8">
      <c r="A121">
        <v>113</v>
      </c>
      <c r="B121" s="21" t="e">
        <f>#REF!</f>
        <v>#REF!</v>
      </c>
      <c r="C121" s="20" t="e">
        <f>#REF!</f>
        <v>#REF!</v>
      </c>
      <c r="D121" s="1" t="e">
        <f>#REF!</f>
        <v>#REF!</v>
      </c>
      <c r="E121" s="1" t="s">
        <v>252</v>
      </c>
      <c r="F121" s="1" t="e">
        <f>#REF!</f>
        <v>#REF!</v>
      </c>
      <c r="G121" s="22">
        <f>IFERROR(VLOOKUP(D121,'データ（触らない）'!$R$44:$S$60,2,FALSE),0)</f>
        <v>0</v>
      </c>
      <c r="H121" s="22" t="e">
        <f t="shared" si="8"/>
        <v>#REF!</v>
      </c>
    </row>
    <row r="122" spans="1:8">
      <c r="A122">
        <v>114</v>
      </c>
      <c r="B122" s="21" t="e">
        <f>#REF!</f>
        <v>#REF!</v>
      </c>
      <c r="C122" s="20" t="e">
        <f>#REF!</f>
        <v>#REF!</v>
      </c>
      <c r="D122" s="1" t="e">
        <f>#REF!</f>
        <v>#REF!</v>
      </c>
      <c r="E122" s="1" t="s">
        <v>252</v>
      </c>
      <c r="F122" s="1" t="e">
        <f>#REF!</f>
        <v>#REF!</v>
      </c>
      <c r="G122" s="22">
        <f>IFERROR(VLOOKUP(D122,'データ（触らない）'!$R$44:$S$60,2,FALSE),0)</f>
        <v>0</v>
      </c>
      <c r="H122" s="22" t="e">
        <f t="shared" si="8"/>
        <v>#REF!</v>
      </c>
    </row>
    <row r="123" spans="1:8">
      <c r="A123">
        <v>115</v>
      </c>
      <c r="B123" s="21" t="e">
        <f>#REF!</f>
        <v>#REF!</v>
      </c>
      <c r="C123" s="20" t="e">
        <f>#REF!</f>
        <v>#REF!</v>
      </c>
      <c r="D123" s="1" t="e">
        <f>#REF!</f>
        <v>#REF!</v>
      </c>
      <c r="E123" s="1" t="s">
        <v>252</v>
      </c>
      <c r="F123" s="1" t="e">
        <f>#REF!</f>
        <v>#REF!</v>
      </c>
      <c r="G123" s="22">
        <f>IFERROR(VLOOKUP(D123,'データ（触らない）'!$R$44:$S$60,2,FALSE),0)</f>
        <v>0</v>
      </c>
      <c r="H123" s="22" t="e">
        <f t="shared" si="8"/>
        <v>#REF!</v>
      </c>
    </row>
    <row r="124" spans="1:8">
      <c r="A124">
        <v>116</v>
      </c>
      <c r="B124" s="21" t="e">
        <f>#REF!</f>
        <v>#REF!</v>
      </c>
      <c r="C124" s="20" t="e">
        <f>#REF!</f>
        <v>#REF!</v>
      </c>
      <c r="D124" s="1" t="e">
        <f>#REF!</f>
        <v>#REF!</v>
      </c>
      <c r="E124" s="1" t="s">
        <v>252</v>
      </c>
      <c r="F124" s="1" t="e">
        <f>#REF!</f>
        <v>#REF!</v>
      </c>
      <c r="G124" s="22">
        <f>IFERROR(VLOOKUP(D124,'データ（触らない）'!$R$44:$S$60,2,FALSE),0)</f>
        <v>0</v>
      </c>
      <c r="H124" s="22" t="e">
        <f t="shared" si="8"/>
        <v>#REF!</v>
      </c>
    </row>
    <row r="125" spans="1:8">
      <c r="A125">
        <v>117</v>
      </c>
      <c r="B125" s="21" t="e">
        <f>#REF!</f>
        <v>#REF!</v>
      </c>
      <c r="C125" s="20" t="e">
        <f>#REF!</f>
        <v>#REF!</v>
      </c>
      <c r="D125" s="1" t="e">
        <f>#REF!</f>
        <v>#REF!</v>
      </c>
      <c r="E125" s="1" t="s">
        <v>252</v>
      </c>
      <c r="F125" s="1" t="e">
        <f>#REF!</f>
        <v>#REF!</v>
      </c>
      <c r="G125" s="22">
        <f>IFERROR(VLOOKUP(D125,'データ（触らない）'!$R$44:$S$60,2,FALSE),0)</f>
        <v>0</v>
      </c>
      <c r="H125" s="22" t="e">
        <f t="shared" si="8"/>
        <v>#REF!</v>
      </c>
    </row>
    <row r="126" spans="1:8">
      <c r="A126">
        <v>118</v>
      </c>
      <c r="B126" s="21" t="e">
        <f>#REF!</f>
        <v>#REF!</v>
      </c>
      <c r="C126" s="20" t="e">
        <f>#REF!</f>
        <v>#REF!</v>
      </c>
      <c r="D126" s="1" t="e">
        <f>#REF!</f>
        <v>#REF!</v>
      </c>
      <c r="E126" s="1" t="s">
        <v>252</v>
      </c>
      <c r="F126" s="1" t="e">
        <f>#REF!</f>
        <v>#REF!</v>
      </c>
      <c r="G126" s="22">
        <f>IFERROR(VLOOKUP(D126,'データ（触らない）'!$R$44:$S$60,2,FALSE),0)</f>
        <v>0</v>
      </c>
      <c r="H126" s="22" t="e">
        <f t="shared" si="8"/>
        <v>#REF!</v>
      </c>
    </row>
    <row r="127" spans="1:8">
      <c r="A127">
        <v>119</v>
      </c>
      <c r="B127" s="21" t="e">
        <f>#REF!</f>
        <v>#REF!</v>
      </c>
      <c r="C127" s="20" t="e">
        <f>#REF!</f>
        <v>#REF!</v>
      </c>
      <c r="D127" s="1" t="e">
        <f>#REF!</f>
        <v>#REF!</v>
      </c>
      <c r="E127" s="1" t="s">
        <v>252</v>
      </c>
      <c r="F127" s="1" t="e">
        <f>#REF!</f>
        <v>#REF!</v>
      </c>
      <c r="G127" s="22">
        <f>IFERROR(VLOOKUP(D127,'データ（触らない）'!$R$44:$S$60,2,FALSE),0)</f>
        <v>0</v>
      </c>
      <c r="H127" s="22" t="e">
        <f t="shared" si="8"/>
        <v>#REF!</v>
      </c>
    </row>
    <row r="128" spans="1:8">
      <c r="A128">
        <v>120</v>
      </c>
      <c r="B128" s="21" t="e">
        <f>#REF!</f>
        <v>#REF!</v>
      </c>
      <c r="C128" s="20" t="e">
        <f>#REF!</f>
        <v>#REF!</v>
      </c>
      <c r="D128" s="1" t="e">
        <f>#REF!</f>
        <v>#REF!</v>
      </c>
      <c r="E128" s="1" t="s">
        <v>252</v>
      </c>
      <c r="F128" s="1" t="e">
        <f>#REF!</f>
        <v>#REF!</v>
      </c>
      <c r="G128" s="22">
        <f>IFERROR(VLOOKUP(D128,'データ（触らない）'!$R$44:$S$60,2,FALSE),0)</f>
        <v>0</v>
      </c>
      <c r="H128" s="22" t="e">
        <f t="shared" si="8"/>
        <v>#REF!</v>
      </c>
    </row>
    <row r="129" spans="1:8">
      <c r="A129">
        <v>121</v>
      </c>
      <c r="B129" s="21" t="e">
        <f>#REF!</f>
        <v>#REF!</v>
      </c>
      <c r="C129" s="20" t="e">
        <f>#REF!</f>
        <v>#REF!</v>
      </c>
      <c r="D129" s="1" t="e">
        <f>#REF!</f>
        <v>#REF!</v>
      </c>
      <c r="E129" s="1" t="s">
        <v>252</v>
      </c>
      <c r="F129" s="1" t="e">
        <f>#REF!</f>
        <v>#REF!</v>
      </c>
      <c r="G129" s="22">
        <f>IFERROR(VLOOKUP(D129,'データ（触らない）'!$R$44:$S$60,2,FALSE),0)</f>
        <v>0</v>
      </c>
      <c r="H129" s="22" t="e">
        <f t="shared" si="8"/>
        <v>#REF!</v>
      </c>
    </row>
    <row r="130" spans="1:8">
      <c r="A130">
        <v>122</v>
      </c>
      <c r="B130" s="21" t="e">
        <f>#REF!</f>
        <v>#REF!</v>
      </c>
      <c r="C130" s="20" t="e">
        <f>#REF!</f>
        <v>#REF!</v>
      </c>
      <c r="D130" s="1" t="e">
        <f>#REF!</f>
        <v>#REF!</v>
      </c>
      <c r="E130" s="1" t="s">
        <v>252</v>
      </c>
      <c r="F130" s="1" t="e">
        <f>#REF!</f>
        <v>#REF!</v>
      </c>
      <c r="G130" s="22">
        <f>IFERROR(VLOOKUP(D130,'データ（触らない）'!$R$44:$S$60,2,FALSE),0)</f>
        <v>0</v>
      </c>
      <c r="H130" s="22" t="e">
        <f t="shared" si="8"/>
        <v>#REF!</v>
      </c>
    </row>
    <row r="131" spans="1:8">
      <c r="A131">
        <v>123</v>
      </c>
      <c r="B131" s="21" t="e">
        <f>#REF!</f>
        <v>#REF!</v>
      </c>
      <c r="C131" s="20" t="e">
        <f>#REF!</f>
        <v>#REF!</v>
      </c>
      <c r="D131" s="1" t="e">
        <f>#REF!</f>
        <v>#REF!</v>
      </c>
      <c r="E131" s="1" t="s">
        <v>252</v>
      </c>
      <c r="F131" s="1" t="e">
        <f>#REF!</f>
        <v>#REF!</v>
      </c>
      <c r="G131" s="22">
        <f>IFERROR(VLOOKUP(D131,'データ（触らない）'!$R$44:$S$60,2,FALSE),0)</f>
        <v>0</v>
      </c>
      <c r="H131" s="22" t="e">
        <f t="shared" si="8"/>
        <v>#REF!</v>
      </c>
    </row>
    <row r="132" spans="1:8">
      <c r="A132" s="23">
        <v>124</v>
      </c>
      <c r="B132" s="24" t="e">
        <f>#REF!</f>
        <v>#REF!</v>
      </c>
      <c r="C132" s="25" t="e">
        <f>#REF!</f>
        <v>#REF!</v>
      </c>
      <c r="D132" s="26" t="e">
        <f>#REF!</f>
        <v>#REF!</v>
      </c>
      <c r="E132" s="26" t="e">
        <f>#REF!</f>
        <v>#REF!</v>
      </c>
      <c r="F132" s="26" t="e">
        <f>IF(E132=0,0,1)</f>
        <v>#REF!</v>
      </c>
      <c r="G132" s="27" t="e">
        <f>IF(#REF!="〇",#REF!,#REF!)</f>
        <v>#REF!</v>
      </c>
      <c r="H132" s="27" t="e">
        <f>F132*G132</f>
        <v>#REF!</v>
      </c>
    </row>
    <row r="133" spans="1:8">
      <c r="A133" s="23">
        <v>125</v>
      </c>
      <c r="B133" s="24" t="e">
        <f>#REF!</f>
        <v>#REF!</v>
      </c>
      <c r="C133" s="25" t="e">
        <f>#REF!</f>
        <v>#REF!</v>
      </c>
      <c r="D133" s="26" t="e">
        <f>#REF!</f>
        <v>#REF!</v>
      </c>
      <c r="E133" s="26" t="e">
        <f>#REF!</f>
        <v>#REF!</v>
      </c>
      <c r="F133" s="26" t="e">
        <f t="shared" ref="F133:F136" si="10">IF(E133=0,0,1)</f>
        <v>#REF!</v>
      </c>
      <c r="G133" s="27" t="e">
        <f>IF(#REF!="〇",#REF!,#REF!)</f>
        <v>#REF!</v>
      </c>
      <c r="H133" s="27" t="e">
        <f t="shared" ref="H133:H172" si="11">F133*G133</f>
        <v>#REF!</v>
      </c>
    </row>
    <row r="134" spans="1:8">
      <c r="A134" s="23">
        <v>126</v>
      </c>
      <c r="B134" s="24" t="e">
        <f>#REF!</f>
        <v>#REF!</v>
      </c>
      <c r="C134" s="25" t="e">
        <f>#REF!</f>
        <v>#REF!</v>
      </c>
      <c r="D134" s="26" t="e">
        <f>#REF!</f>
        <v>#REF!</v>
      </c>
      <c r="E134" s="26" t="e">
        <f>#REF!</f>
        <v>#REF!</v>
      </c>
      <c r="F134" s="26" t="e">
        <f t="shared" si="10"/>
        <v>#REF!</v>
      </c>
      <c r="G134" s="27" t="e">
        <f>IF(#REF!="〇",#REF!,#REF!)</f>
        <v>#REF!</v>
      </c>
      <c r="H134" s="27" t="e">
        <f t="shared" si="11"/>
        <v>#REF!</v>
      </c>
    </row>
    <row r="135" spans="1:8">
      <c r="A135" s="23">
        <v>127</v>
      </c>
      <c r="B135" s="24" t="e">
        <f>#REF!</f>
        <v>#REF!</v>
      </c>
      <c r="C135" s="25" t="e">
        <f>#REF!</f>
        <v>#REF!</v>
      </c>
      <c r="D135" s="26" t="e">
        <f>#REF!</f>
        <v>#REF!</v>
      </c>
      <c r="E135" s="26" t="e">
        <f>#REF!</f>
        <v>#REF!</v>
      </c>
      <c r="F135" s="26" t="e">
        <f t="shared" si="10"/>
        <v>#REF!</v>
      </c>
      <c r="G135" s="27" t="e">
        <f>IF(#REF!="〇",#REF!,#REF!)</f>
        <v>#REF!</v>
      </c>
      <c r="H135" s="27" t="e">
        <f t="shared" si="11"/>
        <v>#REF!</v>
      </c>
    </row>
    <row r="136" spans="1:8">
      <c r="A136" s="23">
        <v>128</v>
      </c>
      <c r="B136" s="24" t="e">
        <f>#REF!</f>
        <v>#REF!</v>
      </c>
      <c r="C136" s="25" t="e">
        <f>#REF!</f>
        <v>#REF!</v>
      </c>
      <c r="D136" s="26" t="e">
        <f>#REF!</f>
        <v>#REF!</v>
      </c>
      <c r="E136" s="26" t="e">
        <f>#REF!&amp;"～"&amp;#REF!</f>
        <v>#REF!</v>
      </c>
      <c r="F136" s="26" t="e">
        <f t="shared" si="10"/>
        <v>#REF!</v>
      </c>
      <c r="G136" s="27" t="e">
        <f>IF(#REF!="〇",#REF!,#REF!)</f>
        <v>#REF!</v>
      </c>
      <c r="H136" s="27" t="e">
        <f t="shared" si="11"/>
        <v>#REF!</v>
      </c>
    </row>
    <row r="137" spans="1:8">
      <c r="A137" s="23">
        <v>129</v>
      </c>
      <c r="B137" s="24" t="e">
        <f>#REF!</f>
        <v>#REF!</v>
      </c>
      <c r="C137" s="25" t="e">
        <f>#REF!</f>
        <v>#REF!</v>
      </c>
      <c r="D137" s="26" t="e">
        <f>#REF!</f>
        <v>#REF!</v>
      </c>
      <c r="E137" s="26" t="s">
        <v>252</v>
      </c>
      <c r="F137" s="26" t="e">
        <f>#REF!</f>
        <v>#REF!</v>
      </c>
      <c r="G137" s="27">
        <f>IFERROR(VLOOKUP(D137,'データ（触らない）'!$R$3:$S$17,2,FALSE),0)</f>
        <v>0</v>
      </c>
      <c r="H137" s="27" t="e">
        <f t="shared" si="11"/>
        <v>#REF!</v>
      </c>
    </row>
    <row r="138" spans="1:8">
      <c r="A138" s="23">
        <v>130</v>
      </c>
      <c r="B138" s="24" t="e">
        <f>#REF!</f>
        <v>#REF!</v>
      </c>
      <c r="C138" s="25" t="e">
        <f>#REF!</f>
        <v>#REF!</v>
      </c>
      <c r="D138" s="26" t="e">
        <f>#REF!</f>
        <v>#REF!</v>
      </c>
      <c r="E138" s="26" t="s">
        <v>252</v>
      </c>
      <c r="F138" s="26" t="e">
        <f>#REF!</f>
        <v>#REF!</v>
      </c>
      <c r="G138" s="27">
        <f>IFERROR(VLOOKUP(D138,'データ（触らない）'!$R$3:$S$17,2,FALSE),0)</f>
        <v>0</v>
      </c>
      <c r="H138" s="27" t="e">
        <f t="shared" si="11"/>
        <v>#REF!</v>
      </c>
    </row>
    <row r="139" spans="1:8">
      <c r="A139" s="23">
        <v>131</v>
      </c>
      <c r="B139" s="24" t="e">
        <f>#REF!</f>
        <v>#REF!</v>
      </c>
      <c r="C139" s="25" t="e">
        <f>#REF!</f>
        <v>#REF!</v>
      </c>
      <c r="D139" s="26" t="e">
        <f>#REF!</f>
        <v>#REF!</v>
      </c>
      <c r="E139" s="26" t="s">
        <v>252</v>
      </c>
      <c r="F139" s="26" t="e">
        <f>#REF!</f>
        <v>#REF!</v>
      </c>
      <c r="G139" s="27">
        <f>IFERROR(VLOOKUP(D139,'データ（触らない）'!$R$3:$S$17,2,FALSE),0)</f>
        <v>0</v>
      </c>
      <c r="H139" s="27" t="e">
        <f t="shared" si="11"/>
        <v>#REF!</v>
      </c>
    </row>
    <row r="140" spans="1:8">
      <c r="A140" s="23">
        <v>132</v>
      </c>
      <c r="B140" s="24" t="e">
        <f>#REF!</f>
        <v>#REF!</v>
      </c>
      <c r="C140" s="25" t="e">
        <f>#REF!</f>
        <v>#REF!</v>
      </c>
      <c r="D140" s="26" t="e">
        <f>#REF!</f>
        <v>#REF!</v>
      </c>
      <c r="E140" s="26" t="s">
        <v>252</v>
      </c>
      <c r="F140" s="26" t="e">
        <f>#REF!</f>
        <v>#REF!</v>
      </c>
      <c r="G140" s="27">
        <f>IFERROR(VLOOKUP(D140,'データ（触らない）'!$R$3:$S$17,2,FALSE),0)</f>
        <v>0</v>
      </c>
      <c r="H140" s="27" t="e">
        <f t="shared" si="11"/>
        <v>#REF!</v>
      </c>
    </row>
    <row r="141" spans="1:8">
      <c r="A141" s="23">
        <v>133</v>
      </c>
      <c r="B141" s="24" t="e">
        <f>#REF!</f>
        <v>#REF!</v>
      </c>
      <c r="C141" s="25" t="e">
        <f>#REF!</f>
        <v>#REF!</v>
      </c>
      <c r="D141" s="26" t="e">
        <f>#REF!</f>
        <v>#REF!</v>
      </c>
      <c r="E141" s="26" t="s">
        <v>252</v>
      </c>
      <c r="F141" s="26" t="e">
        <f>#REF!</f>
        <v>#REF!</v>
      </c>
      <c r="G141" s="27">
        <f>IFERROR(VLOOKUP(D141,'データ（触らない）'!$R$3:$S$17,2,FALSE),0)</f>
        <v>0</v>
      </c>
      <c r="H141" s="27" t="e">
        <f t="shared" si="11"/>
        <v>#REF!</v>
      </c>
    </row>
    <row r="142" spans="1:8">
      <c r="A142" s="23">
        <v>134</v>
      </c>
      <c r="B142" s="24" t="e">
        <f>#REF!</f>
        <v>#REF!</v>
      </c>
      <c r="C142" s="25" t="e">
        <f>#REF!</f>
        <v>#REF!</v>
      </c>
      <c r="D142" s="26" t="e">
        <f>#REF!</f>
        <v>#REF!</v>
      </c>
      <c r="E142" s="26" t="s">
        <v>252</v>
      </c>
      <c r="F142" s="26" t="e">
        <f>#REF!</f>
        <v>#REF!</v>
      </c>
      <c r="G142" s="27">
        <f>IFERROR(VLOOKUP(D142,'データ（触らない）'!$R$3:$S$17,2,FALSE),0)</f>
        <v>0</v>
      </c>
      <c r="H142" s="27" t="e">
        <f t="shared" si="11"/>
        <v>#REF!</v>
      </c>
    </row>
    <row r="143" spans="1:8">
      <c r="A143" s="23">
        <v>135</v>
      </c>
      <c r="B143" s="24" t="e">
        <f>#REF!</f>
        <v>#REF!</v>
      </c>
      <c r="C143" s="25" t="e">
        <f>#REF!</f>
        <v>#REF!</v>
      </c>
      <c r="D143" s="26" t="e">
        <f>#REF!</f>
        <v>#REF!</v>
      </c>
      <c r="E143" s="26" t="s">
        <v>252</v>
      </c>
      <c r="F143" s="26" t="e">
        <f>#REF!</f>
        <v>#REF!</v>
      </c>
      <c r="G143" s="27">
        <f>IFERROR(VLOOKUP(D143,'データ（触らない）'!$R$3:$S$17,2,FALSE),0)</f>
        <v>0</v>
      </c>
      <c r="H143" s="27" t="e">
        <f t="shared" si="11"/>
        <v>#REF!</v>
      </c>
    </row>
    <row r="144" spans="1:8">
      <c r="A144" s="23">
        <v>136</v>
      </c>
      <c r="B144" s="24" t="e">
        <f>#REF!</f>
        <v>#REF!</v>
      </c>
      <c r="C144" s="25" t="e">
        <f>#REF!</f>
        <v>#REF!</v>
      </c>
      <c r="D144" s="26" t="e">
        <f>#REF!</f>
        <v>#REF!</v>
      </c>
      <c r="E144" s="26" t="s">
        <v>252</v>
      </c>
      <c r="F144" s="26" t="e">
        <f>#REF!</f>
        <v>#REF!</v>
      </c>
      <c r="G144" s="27">
        <f>IFERROR(VLOOKUP(D144,'データ（触らない）'!$R$3:$S$17,2,FALSE),0)</f>
        <v>0</v>
      </c>
      <c r="H144" s="27" t="e">
        <f t="shared" si="11"/>
        <v>#REF!</v>
      </c>
    </row>
    <row r="145" spans="1:8">
      <c r="A145" s="23">
        <v>137</v>
      </c>
      <c r="B145" s="24" t="e">
        <f>#REF!</f>
        <v>#REF!</v>
      </c>
      <c r="C145" s="25" t="e">
        <f>#REF!</f>
        <v>#REF!</v>
      </c>
      <c r="D145" s="26" t="e">
        <f>#REF!</f>
        <v>#REF!</v>
      </c>
      <c r="E145" s="26" t="s">
        <v>252</v>
      </c>
      <c r="F145" s="26" t="e">
        <f>#REF!</f>
        <v>#REF!</v>
      </c>
      <c r="G145" s="27">
        <f>IFERROR(VLOOKUP(D145,'データ（触らない）'!$R$3:$S$17,2,FALSE),0)</f>
        <v>0</v>
      </c>
      <c r="H145" s="27" t="e">
        <f t="shared" si="11"/>
        <v>#REF!</v>
      </c>
    </row>
    <row r="146" spans="1:8">
      <c r="A146" s="23">
        <v>138</v>
      </c>
      <c r="B146" s="24" t="e">
        <f>#REF!</f>
        <v>#REF!</v>
      </c>
      <c r="C146" s="25" t="e">
        <f>#REF!</f>
        <v>#REF!</v>
      </c>
      <c r="D146" s="26" t="e">
        <f>#REF!</f>
        <v>#REF!</v>
      </c>
      <c r="E146" s="26" t="s">
        <v>252</v>
      </c>
      <c r="F146" s="26" t="e">
        <f>#REF!</f>
        <v>#REF!</v>
      </c>
      <c r="G146" s="27">
        <f>IFERROR(VLOOKUP(D146,'データ（触らない）'!$R$3:$S$17,2,FALSE),0)</f>
        <v>0</v>
      </c>
      <c r="H146" s="27" t="e">
        <f t="shared" si="11"/>
        <v>#REF!</v>
      </c>
    </row>
    <row r="147" spans="1:8">
      <c r="A147" s="23">
        <v>139</v>
      </c>
      <c r="B147" s="24" t="e">
        <f>#REF!</f>
        <v>#REF!</v>
      </c>
      <c r="C147" s="25" t="e">
        <f>#REF!</f>
        <v>#REF!</v>
      </c>
      <c r="D147" s="26" t="e">
        <f>#REF!</f>
        <v>#REF!</v>
      </c>
      <c r="E147" s="26" t="e">
        <f>#REF!</f>
        <v>#REF!</v>
      </c>
      <c r="F147" s="26" t="e">
        <f>IF(E147=0,0,1)</f>
        <v>#REF!</v>
      </c>
      <c r="G147" s="27" t="e">
        <f>IF(#REF!="〇",#REF!,#REF!)</f>
        <v>#REF!</v>
      </c>
      <c r="H147" s="27" t="e">
        <f t="shared" si="11"/>
        <v>#REF!</v>
      </c>
    </row>
    <row r="148" spans="1:8">
      <c r="A148" s="23">
        <v>140</v>
      </c>
      <c r="B148" s="24" t="e">
        <f>#REF!</f>
        <v>#REF!</v>
      </c>
      <c r="C148" s="25" t="e">
        <f>#REF!</f>
        <v>#REF!</v>
      </c>
      <c r="D148" s="26" t="e">
        <f>#REF!</f>
        <v>#REF!</v>
      </c>
      <c r="E148" s="26" t="s">
        <v>252</v>
      </c>
      <c r="F148" s="26" t="e">
        <f>#REF!</f>
        <v>#REF!</v>
      </c>
      <c r="G148" s="27">
        <f>IFERROR(VLOOKUP(D148,'データ（触らない）'!$R$21:$S$29,2,FALSE),0)</f>
        <v>0</v>
      </c>
      <c r="H148" s="27" t="e">
        <f t="shared" si="11"/>
        <v>#REF!</v>
      </c>
    </row>
    <row r="149" spans="1:8">
      <c r="A149" s="23">
        <v>141</v>
      </c>
      <c r="B149" s="24" t="e">
        <f>#REF!</f>
        <v>#REF!</v>
      </c>
      <c r="C149" s="25" t="e">
        <f>#REF!</f>
        <v>#REF!</v>
      </c>
      <c r="D149" s="26" t="e">
        <f>#REF!</f>
        <v>#REF!</v>
      </c>
      <c r="E149" s="26" t="s">
        <v>252</v>
      </c>
      <c r="F149" s="26" t="e">
        <f>#REF!</f>
        <v>#REF!</v>
      </c>
      <c r="G149" s="27">
        <f>IFERROR(VLOOKUP(D149,'データ（触らない）'!$R$21:$S$29,2,FALSE),0)</f>
        <v>0</v>
      </c>
      <c r="H149" s="27" t="e">
        <f t="shared" si="11"/>
        <v>#REF!</v>
      </c>
    </row>
    <row r="150" spans="1:8">
      <c r="A150" s="23">
        <v>142</v>
      </c>
      <c r="B150" s="24" t="e">
        <f>#REF!</f>
        <v>#REF!</v>
      </c>
      <c r="C150" s="25" t="e">
        <f>#REF!</f>
        <v>#REF!</v>
      </c>
      <c r="D150" s="26" t="e">
        <f>#REF!</f>
        <v>#REF!</v>
      </c>
      <c r="E150" s="26" t="s">
        <v>252</v>
      </c>
      <c r="F150" s="26" t="e">
        <f>#REF!</f>
        <v>#REF!</v>
      </c>
      <c r="G150" s="27">
        <f>IFERROR(VLOOKUP(D150,'データ（触らない）'!$R$21:$S$29,2,FALSE),0)</f>
        <v>0</v>
      </c>
      <c r="H150" s="27" t="e">
        <f t="shared" si="11"/>
        <v>#REF!</v>
      </c>
    </row>
    <row r="151" spans="1:8">
      <c r="A151" s="23">
        <v>143</v>
      </c>
      <c r="B151" s="24" t="e">
        <f>#REF!</f>
        <v>#REF!</v>
      </c>
      <c r="C151" s="25" t="e">
        <f>#REF!</f>
        <v>#REF!</v>
      </c>
      <c r="D151" s="26" t="e">
        <f>#REF!</f>
        <v>#REF!</v>
      </c>
      <c r="E151" s="26" t="s">
        <v>252</v>
      </c>
      <c r="F151" s="26" t="e">
        <f>#REF!</f>
        <v>#REF!</v>
      </c>
      <c r="G151" s="27">
        <f>IFERROR(VLOOKUP(D151,'データ（触らない）'!$R$21:$S$29,2,FALSE),0)</f>
        <v>0</v>
      </c>
      <c r="H151" s="27" t="e">
        <f t="shared" si="11"/>
        <v>#REF!</v>
      </c>
    </row>
    <row r="152" spans="1:8">
      <c r="A152" s="23">
        <v>144</v>
      </c>
      <c r="B152" s="24" t="e">
        <f>#REF!</f>
        <v>#REF!</v>
      </c>
      <c r="C152" s="25" t="e">
        <f>#REF!</f>
        <v>#REF!</v>
      </c>
      <c r="D152" s="26" t="e">
        <f>#REF!</f>
        <v>#REF!</v>
      </c>
      <c r="E152" s="26" t="s">
        <v>252</v>
      </c>
      <c r="F152" s="26" t="e">
        <f>#REF!</f>
        <v>#REF!</v>
      </c>
      <c r="G152" s="27">
        <f>IFERROR(VLOOKUP(D152,'データ（触らない）'!$R$21:$S$29,2,FALSE),0)</f>
        <v>0</v>
      </c>
      <c r="H152" s="27" t="e">
        <f t="shared" si="11"/>
        <v>#REF!</v>
      </c>
    </row>
    <row r="153" spans="1:8">
      <c r="A153" s="23">
        <v>145</v>
      </c>
      <c r="B153" s="24" t="e">
        <f>#REF!</f>
        <v>#REF!</v>
      </c>
      <c r="C153" s="25" t="e">
        <f>#REF!</f>
        <v>#REF!</v>
      </c>
      <c r="D153" s="26" t="e">
        <f>#REF!</f>
        <v>#REF!</v>
      </c>
      <c r="E153" s="26" t="s">
        <v>252</v>
      </c>
      <c r="F153" s="26" t="e">
        <f>#REF!</f>
        <v>#REF!</v>
      </c>
      <c r="G153" s="27">
        <f>IFERROR(VLOOKUP(D153,'データ（触らない）'!$R$21:$S$29,2,FALSE),0)</f>
        <v>0</v>
      </c>
      <c r="H153" s="27" t="e">
        <f t="shared" si="11"/>
        <v>#REF!</v>
      </c>
    </row>
    <row r="154" spans="1:8">
      <c r="A154" s="23">
        <v>146</v>
      </c>
      <c r="B154" s="24" t="e">
        <f>#REF!</f>
        <v>#REF!</v>
      </c>
      <c r="C154" s="25" t="e">
        <f>#REF!</f>
        <v>#REF!</v>
      </c>
      <c r="D154" s="26" t="e">
        <f>#REF!</f>
        <v>#REF!</v>
      </c>
      <c r="E154" s="26" t="e">
        <f>#REF!</f>
        <v>#REF!</v>
      </c>
      <c r="F154" s="26" t="e">
        <f t="shared" ref="F154" si="12">IF(E154=0,0,1)</f>
        <v>#REF!</v>
      </c>
      <c r="G154" s="27" t="e">
        <f>IF(#REF!="〇",#REF!,#REF!)</f>
        <v>#REF!</v>
      </c>
      <c r="H154" s="27" t="e">
        <f t="shared" si="11"/>
        <v>#REF!</v>
      </c>
    </row>
    <row r="155" spans="1:8">
      <c r="A155" s="23">
        <v>147</v>
      </c>
      <c r="B155" s="24" t="e">
        <f>#REF!</f>
        <v>#REF!</v>
      </c>
      <c r="C155" s="25" t="e">
        <f>#REF!</f>
        <v>#REF!</v>
      </c>
      <c r="D155" s="26" t="e">
        <f>#REF!</f>
        <v>#REF!</v>
      </c>
      <c r="E155" s="26" t="s">
        <v>252</v>
      </c>
      <c r="F155" s="26" t="e">
        <f>#REF!</f>
        <v>#REF!</v>
      </c>
      <c r="G155" s="27">
        <f>IFERROR(VLOOKUP(D155,'データ（触らない）'!$R$33:$S$40,2,FALSE),0)</f>
        <v>0</v>
      </c>
      <c r="H155" s="27" t="e">
        <f t="shared" si="11"/>
        <v>#REF!</v>
      </c>
    </row>
    <row r="156" spans="1:8">
      <c r="A156" s="23">
        <v>148</v>
      </c>
      <c r="B156" s="24" t="e">
        <f>#REF!</f>
        <v>#REF!</v>
      </c>
      <c r="C156" s="25" t="e">
        <f>#REF!</f>
        <v>#REF!</v>
      </c>
      <c r="D156" s="26" t="e">
        <f>#REF!</f>
        <v>#REF!</v>
      </c>
      <c r="E156" s="26" t="s">
        <v>252</v>
      </c>
      <c r="F156" s="26" t="e">
        <f>#REF!</f>
        <v>#REF!</v>
      </c>
      <c r="G156" s="27">
        <f>IFERROR(VLOOKUP(D156,'データ（触らない）'!$R$33:$S$40,2,FALSE),0)</f>
        <v>0</v>
      </c>
      <c r="H156" s="27" t="e">
        <f t="shared" si="11"/>
        <v>#REF!</v>
      </c>
    </row>
    <row r="157" spans="1:8">
      <c r="A157" s="23">
        <v>149</v>
      </c>
      <c r="B157" s="24" t="e">
        <f>#REF!</f>
        <v>#REF!</v>
      </c>
      <c r="C157" s="25" t="e">
        <f>#REF!</f>
        <v>#REF!</v>
      </c>
      <c r="D157" s="26" t="e">
        <f>#REF!</f>
        <v>#REF!</v>
      </c>
      <c r="E157" s="26" t="s">
        <v>252</v>
      </c>
      <c r="F157" s="26" t="e">
        <f>#REF!</f>
        <v>#REF!</v>
      </c>
      <c r="G157" s="27">
        <f>IFERROR(VLOOKUP(D157,'データ（触らない）'!$R$33:$S$40,2,FALSE),0)</f>
        <v>0</v>
      </c>
      <c r="H157" s="27" t="e">
        <f t="shared" si="11"/>
        <v>#REF!</v>
      </c>
    </row>
    <row r="158" spans="1:8">
      <c r="A158" s="23">
        <v>150</v>
      </c>
      <c r="B158" s="24" t="e">
        <f>#REF!</f>
        <v>#REF!</v>
      </c>
      <c r="C158" s="25" t="e">
        <f>#REF!</f>
        <v>#REF!</v>
      </c>
      <c r="D158" s="26" t="e">
        <f>#REF!</f>
        <v>#REF!</v>
      </c>
      <c r="E158" s="26" t="s">
        <v>252</v>
      </c>
      <c r="F158" s="26" t="e">
        <f>#REF!</f>
        <v>#REF!</v>
      </c>
      <c r="G158" s="27">
        <f>IFERROR(VLOOKUP(D158,'データ（触らない）'!$R$33:$S$40,2,FALSE),0)</f>
        <v>0</v>
      </c>
      <c r="H158" s="27" t="e">
        <f t="shared" si="11"/>
        <v>#REF!</v>
      </c>
    </row>
    <row r="159" spans="1:8">
      <c r="A159" s="23">
        <v>151</v>
      </c>
      <c r="B159" s="24" t="e">
        <f>#REF!</f>
        <v>#REF!</v>
      </c>
      <c r="C159" s="25" t="e">
        <f>#REF!</f>
        <v>#REF!</v>
      </c>
      <c r="D159" s="26" t="e">
        <f>#REF!</f>
        <v>#REF!</v>
      </c>
      <c r="E159" s="26" t="s">
        <v>252</v>
      </c>
      <c r="F159" s="26" t="e">
        <f>#REF!</f>
        <v>#REF!</v>
      </c>
      <c r="G159" s="27">
        <f>IFERROR(VLOOKUP(D159,'データ（触らない）'!$R$33:$S$40,2,FALSE),0)</f>
        <v>0</v>
      </c>
      <c r="H159" s="27" t="e">
        <f t="shared" si="11"/>
        <v>#REF!</v>
      </c>
    </row>
    <row r="160" spans="1:8">
      <c r="A160" s="23">
        <v>152</v>
      </c>
      <c r="B160" s="24" t="e">
        <f>#REF!</f>
        <v>#REF!</v>
      </c>
      <c r="C160" s="25" t="e">
        <f>#REF!</f>
        <v>#REF!</v>
      </c>
      <c r="D160" s="26" t="e">
        <f>#REF!</f>
        <v>#REF!</v>
      </c>
      <c r="E160" s="26" t="s">
        <v>252</v>
      </c>
      <c r="F160" s="26" t="e">
        <f>#REF!</f>
        <v>#REF!</v>
      </c>
      <c r="G160" s="27">
        <f>IFERROR(VLOOKUP(D160,'データ（触らない）'!$R$44:$S$60,2,FALSE),0)</f>
        <v>0</v>
      </c>
      <c r="H160" s="27" t="e">
        <f t="shared" si="11"/>
        <v>#REF!</v>
      </c>
    </row>
    <row r="161" spans="1:8">
      <c r="A161" s="23">
        <v>153</v>
      </c>
      <c r="B161" s="24" t="e">
        <f>#REF!</f>
        <v>#REF!</v>
      </c>
      <c r="C161" s="25" t="e">
        <f>#REF!</f>
        <v>#REF!</v>
      </c>
      <c r="D161" s="26" t="e">
        <f>#REF!</f>
        <v>#REF!</v>
      </c>
      <c r="E161" s="26" t="s">
        <v>252</v>
      </c>
      <c r="F161" s="26" t="e">
        <f>#REF!</f>
        <v>#REF!</v>
      </c>
      <c r="G161" s="27">
        <f>IFERROR(VLOOKUP(D161,'データ（触らない）'!$R$44:$S$60,2,FALSE),0)</f>
        <v>0</v>
      </c>
      <c r="H161" s="27" t="e">
        <f t="shared" si="11"/>
        <v>#REF!</v>
      </c>
    </row>
    <row r="162" spans="1:8">
      <c r="A162" s="23">
        <v>154</v>
      </c>
      <c r="B162" s="24" t="e">
        <f>#REF!</f>
        <v>#REF!</v>
      </c>
      <c r="C162" s="25" t="e">
        <f>#REF!</f>
        <v>#REF!</v>
      </c>
      <c r="D162" s="26" t="e">
        <f>#REF!</f>
        <v>#REF!</v>
      </c>
      <c r="E162" s="26" t="s">
        <v>252</v>
      </c>
      <c r="F162" s="26" t="e">
        <f>#REF!</f>
        <v>#REF!</v>
      </c>
      <c r="G162" s="27">
        <f>IFERROR(VLOOKUP(D162,'データ（触らない）'!$R$44:$S$60,2,FALSE),0)</f>
        <v>0</v>
      </c>
      <c r="H162" s="27" t="e">
        <f t="shared" si="11"/>
        <v>#REF!</v>
      </c>
    </row>
    <row r="163" spans="1:8">
      <c r="A163" s="23">
        <v>155</v>
      </c>
      <c r="B163" s="24" t="e">
        <f>#REF!</f>
        <v>#REF!</v>
      </c>
      <c r="C163" s="25" t="e">
        <f>#REF!</f>
        <v>#REF!</v>
      </c>
      <c r="D163" s="26" t="e">
        <f>#REF!</f>
        <v>#REF!</v>
      </c>
      <c r="E163" s="26" t="s">
        <v>252</v>
      </c>
      <c r="F163" s="26" t="e">
        <f>#REF!</f>
        <v>#REF!</v>
      </c>
      <c r="G163" s="27">
        <f>IFERROR(VLOOKUP(D163,'データ（触らない）'!$R$44:$S$60,2,FALSE),0)</f>
        <v>0</v>
      </c>
      <c r="H163" s="27" t="e">
        <f t="shared" si="11"/>
        <v>#REF!</v>
      </c>
    </row>
    <row r="164" spans="1:8">
      <c r="A164" s="23">
        <v>156</v>
      </c>
      <c r="B164" s="24" t="e">
        <f>#REF!</f>
        <v>#REF!</v>
      </c>
      <c r="C164" s="25" t="e">
        <f>#REF!</f>
        <v>#REF!</v>
      </c>
      <c r="D164" s="26" t="e">
        <f>#REF!</f>
        <v>#REF!</v>
      </c>
      <c r="E164" s="26" t="s">
        <v>252</v>
      </c>
      <c r="F164" s="26" t="e">
        <f>#REF!</f>
        <v>#REF!</v>
      </c>
      <c r="G164" s="27">
        <f>IFERROR(VLOOKUP(D164,'データ（触らない）'!$R$44:$S$60,2,FALSE),0)</f>
        <v>0</v>
      </c>
      <c r="H164" s="27" t="e">
        <f t="shared" si="11"/>
        <v>#REF!</v>
      </c>
    </row>
    <row r="165" spans="1:8">
      <c r="A165" s="23">
        <v>157</v>
      </c>
      <c r="B165" s="24" t="e">
        <f>#REF!</f>
        <v>#REF!</v>
      </c>
      <c r="C165" s="25" t="e">
        <f>#REF!</f>
        <v>#REF!</v>
      </c>
      <c r="D165" s="26" t="e">
        <f>#REF!</f>
        <v>#REF!</v>
      </c>
      <c r="E165" s="26" t="s">
        <v>252</v>
      </c>
      <c r="F165" s="26" t="e">
        <f>#REF!</f>
        <v>#REF!</v>
      </c>
      <c r="G165" s="27">
        <f>IFERROR(VLOOKUP(D165,'データ（触らない）'!$R$44:$S$60,2,FALSE),0)</f>
        <v>0</v>
      </c>
      <c r="H165" s="27" t="e">
        <f t="shared" si="11"/>
        <v>#REF!</v>
      </c>
    </row>
    <row r="166" spans="1:8">
      <c r="A166" s="23">
        <v>158</v>
      </c>
      <c r="B166" s="24" t="e">
        <f>#REF!</f>
        <v>#REF!</v>
      </c>
      <c r="C166" s="25" t="e">
        <f>#REF!</f>
        <v>#REF!</v>
      </c>
      <c r="D166" s="26" t="e">
        <f>#REF!</f>
        <v>#REF!</v>
      </c>
      <c r="E166" s="26" t="s">
        <v>252</v>
      </c>
      <c r="F166" s="26" t="e">
        <f>#REF!</f>
        <v>#REF!</v>
      </c>
      <c r="G166" s="27">
        <f>IFERROR(VLOOKUP(D166,'データ（触らない）'!$R$44:$S$60,2,FALSE),0)</f>
        <v>0</v>
      </c>
      <c r="H166" s="27" t="e">
        <f t="shared" si="11"/>
        <v>#REF!</v>
      </c>
    </row>
    <row r="167" spans="1:8">
      <c r="A167" s="23">
        <v>159</v>
      </c>
      <c r="B167" s="24" t="e">
        <f>#REF!</f>
        <v>#REF!</v>
      </c>
      <c r="C167" s="25" t="e">
        <f>#REF!</f>
        <v>#REF!</v>
      </c>
      <c r="D167" s="26" t="e">
        <f>#REF!</f>
        <v>#REF!</v>
      </c>
      <c r="E167" s="26" t="s">
        <v>252</v>
      </c>
      <c r="F167" s="26" t="e">
        <f>#REF!</f>
        <v>#REF!</v>
      </c>
      <c r="G167" s="27">
        <f>IFERROR(VLOOKUP(D167,'データ（触らない）'!$R$44:$S$60,2,FALSE),0)</f>
        <v>0</v>
      </c>
      <c r="H167" s="27" t="e">
        <f t="shared" si="11"/>
        <v>#REF!</v>
      </c>
    </row>
    <row r="168" spans="1:8">
      <c r="A168" s="23">
        <v>160</v>
      </c>
      <c r="B168" s="24" t="e">
        <f>#REF!</f>
        <v>#REF!</v>
      </c>
      <c r="C168" s="25" t="e">
        <f>#REF!</f>
        <v>#REF!</v>
      </c>
      <c r="D168" s="26" t="e">
        <f>#REF!</f>
        <v>#REF!</v>
      </c>
      <c r="E168" s="26" t="s">
        <v>252</v>
      </c>
      <c r="F168" s="26" t="e">
        <f>#REF!</f>
        <v>#REF!</v>
      </c>
      <c r="G168" s="27">
        <f>IFERROR(VLOOKUP(D168,'データ（触らない）'!$R$44:$S$60,2,FALSE),0)</f>
        <v>0</v>
      </c>
      <c r="H168" s="27" t="e">
        <f t="shared" si="11"/>
        <v>#REF!</v>
      </c>
    </row>
    <row r="169" spans="1:8">
      <c r="A169" s="23">
        <v>161</v>
      </c>
      <c r="B169" s="24" t="e">
        <f>#REF!</f>
        <v>#REF!</v>
      </c>
      <c r="C169" s="25" t="e">
        <f>#REF!</f>
        <v>#REF!</v>
      </c>
      <c r="D169" s="26" t="e">
        <f>#REF!</f>
        <v>#REF!</v>
      </c>
      <c r="E169" s="26" t="s">
        <v>252</v>
      </c>
      <c r="F169" s="26" t="e">
        <f>#REF!</f>
        <v>#REF!</v>
      </c>
      <c r="G169" s="27">
        <f>IFERROR(VLOOKUP(D169,'データ（触らない）'!$R$44:$S$60,2,FALSE),0)</f>
        <v>0</v>
      </c>
      <c r="H169" s="27" t="e">
        <f t="shared" si="11"/>
        <v>#REF!</v>
      </c>
    </row>
    <row r="170" spans="1:8">
      <c r="A170" s="23">
        <v>162</v>
      </c>
      <c r="B170" s="24" t="e">
        <f>#REF!</f>
        <v>#REF!</v>
      </c>
      <c r="C170" s="25" t="e">
        <f>#REF!</f>
        <v>#REF!</v>
      </c>
      <c r="D170" s="26" t="e">
        <f>#REF!</f>
        <v>#REF!</v>
      </c>
      <c r="E170" s="26" t="s">
        <v>252</v>
      </c>
      <c r="F170" s="26" t="e">
        <f>#REF!</f>
        <v>#REF!</v>
      </c>
      <c r="G170" s="27">
        <f>IFERROR(VLOOKUP(D170,'データ（触らない）'!$R$44:$S$60,2,FALSE),0)</f>
        <v>0</v>
      </c>
      <c r="H170" s="27" t="e">
        <f t="shared" si="11"/>
        <v>#REF!</v>
      </c>
    </row>
    <row r="171" spans="1:8">
      <c r="A171" s="23">
        <v>163</v>
      </c>
      <c r="B171" s="24" t="e">
        <f>#REF!</f>
        <v>#REF!</v>
      </c>
      <c r="C171" s="25" t="e">
        <f>#REF!</f>
        <v>#REF!</v>
      </c>
      <c r="D171" s="26" t="e">
        <f>#REF!</f>
        <v>#REF!</v>
      </c>
      <c r="E171" s="26" t="s">
        <v>252</v>
      </c>
      <c r="F171" s="26" t="e">
        <f>#REF!</f>
        <v>#REF!</v>
      </c>
      <c r="G171" s="27">
        <f>IFERROR(VLOOKUP(D171,'データ（触らない）'!$R$44:$S$60,2,FALSE),0)</f>
        <v>0</v>
      </c>
      <c r="H171" s="27" t="e">
        <f t="shared" si="11"/>
        <v>#REF!</v>
      </c>
    </row>
    <row r="172" spans="1:8">
      <c r="A172" s="23">
        <v>164</v>
      </c>
      <c r="B172" s="24" t="e">
        <f>#REF!</f>
        <v>#REF!</v>
      </c>
      <c r="C172" s="25" t="e">
        <f>#REF!</f>
        <v>#REF!</v>
      </c>
      <c r="D172" s="26" t="e">
        <f>#REF!</f>
        <v>#REF!</v>
      </c>
      <c r="E172" s="26" t="s">
        <v>252</v>
      </c>
      <c r="F172" s="26" t="e">
        <f>#REF!</f>
        <v>#REF!</v>
      </c>
      <c r="G172" s="27">
        <f>IFERROR(VLOOKUP(D172,'データ（触らない）'!$R$44:$S$60,2,FALSE),0)</f>
        <v>0</v>
      </c>
      <c r="H172" s="27" t="e">
        <f t="shared" si="11"/>
        <v>#REF!</v>
      </c>
    </row>
    <row r="173" spans="1:8">
      <c r="A173">
        <v>165</v>
      </c>
      <c r="B173" s="21" t="e">
        <f>#REF!</f>
        <v>#REF!</v>
      </c>
      <c r="C173" s="20" t="e">
        <f>#REF!</f>
        <v>#REF!</v>
      </c>
      <c r="D173" s="1" t="e">
        <f>#REF!</f>
        <v>#REF!</v>
      </c>
      <c r="E173" s="1" t="e">
        <f>#REF!</f>
        <v>#REF!</v>
      </c>
      <c r="F173" s="1" t="e">
        <f>IF(E173=0,0,1)</f>
        <v>#REF!</v>
      </c>
      <c r="G173" s="22" t="e">
        <f>IF(#REF!="〇",#REF!,#REF!)</f>
        <v>#REF!</v>
      </c>
      <c r="H173" s="22" t="e">
        <f>F173*G173</f>
        <v>#REF!</v>
      </c>
    </row>
    <row r="174" spans="1:8">
      <c r="A174">
        <v>166</v>
      </c>
      <c r="B174" s="21" t="e">
        <f>#REF!</f>
        <v>#REF!</v>
      </c>
      <c r="C174" s="20" t="e">
        <f>#REF!</f>
        <v>#REF!</v>
      </c>
      <c r="D174" s="1" t="e">
        <f>#REF!</f>
        <v>#REF!</v>
      </c>
      <c r="E174" s="1" t="e">
        <f>#REF!</f>
        <v>#REF!</v>
      </c>
      <c r="F174" s="1" t="e">
        <f t="shared" ref="F174:F177" si="13">IF(E174=0,0,1)</f>
        <v>#REF!</v>
      </c>
      <c r="G174" s="22" t="e">
        <f>IF(#REF!="〇",#REF!,#REF!)</f>
        <v>#REF!</v>
      </c>
      <c r="H174" s="22" t="e">
        <f t="shared" ref="H174:H213" si="14">F174*G174</f>
        <v>#REF!</v>
      </c>
    </row>
    <row r="175" spans="1:8">
      <c r="A175">
        <v>167</v>
      </c>
      <c r="B175" s="21" t="e">
        <f>#REF!</f>
        <v>#REF!</v>
      </c>
      <c r="C175" s="20" t="e">
        <f>#REF!</f>
        <v>#REF!</v>
      </c>
      <c r="D175" s="1" t="e">
        <f>#REF!</f>
        <v>#REF!</v>
      </c>
      <c r="E175" s="1" t="e">
        <f>#REF!</f>
        <v>#REF!</v>
      </c>
      <c r="F175" s="1" t="e">
        <f t="shared" si="13"/>
        <v>#REF!</v>
      </c>
      <c r="G175" s="22" t="e">
        <f>IF(#REF!="〇",#REF!,#REF!)</f>
        <v>#REF!</v>
      </c>
      <c r="H175" s="22" t="e">
        <f t="shared" si="14"/>
        <v>#REF!</v>
      </c>
    </row>
    <row r="176" spans="1:8">
      <c r="A176">
        <v>168</v>
      </c>
      <c r="B176" s="21" t="e">
        <f>#REF!</f>
        <v>#REF!</v>
      </c>
      <c r="C176" s="20" t="e">
        <f>#REF!</f>
        <v>#REF!</v>
      </c>
      <c r="D176" s="1" t="e">
        <f>#REF!</f>
        <v>#REF!</v>
      </c>
      <c r="E176" s="1" t="e">
        <f>#REF!</f>
        <v>#REF!</v>
      </c>
      <c r="F176" s="1" t="e">
        <f t="shared" si="13"/>
        <v>#REF!</v>
      </c>
      <c r="G176" s="22" t="e">
        <f>IF(#REF!="〇",#REF!,#REF!)</f>
        <v>#REF!</v>
      </c>
      <c r="H176" s="22" t="e">
        <f t="shared" si="14"/>
        <v>#REF!</v>
      </c>
    </row>
    <row r="177" spans="1:8">
      <c r="A177">
        <v>169</v>
      </c>
      <c r="B177" s="21" t="e">
        <f>#REF!</f>
        <v>#REF!</v>
      </c>
      <c r="C177" s="20" t="e">
        <f>#REF!</f>
        <v>#REF!</v>
      </c>
      <c r="D177" s="1" t="e">
        <f>#REF!</f>
        <v>#REF!</v>
      </c>
      <c r="E177" s="1" t="e">
        <f>#REF!&amp;"～"&amp;#REF!</f>
        <v>#REF!</v>
      </c>
      <c r="F177" s="1" t="e">
        <f t="shared" si="13"/>
        <v>#REF!</v>
      </c>
      <c r="G177" s="22" t="e">
        <f>IF(#REF!="〇",#REF!,#REF!)</f>
        <v>#REF!</v>
      </c>
      <c r="H177" s="22" t="e">
        <f t="shared" si="14"/>
        <v>#REF!</v>
      </c>
    </row>
    <row r="178" spans="1:8">
      <c r="A178">
        <v>170</v>
      </c>
      <c r="B178" s="21" t="e">
        <f>#REF!</f>
        <v>#REF!</v>
      </c>
      <c r="C178" s="20" t="e">
        <f>#REF!</f>
        <v>#REF!</v>
      </c>
      <c r="D178" s="1" t="e">
        <f>#REF!</f>
        <v>#REF!</v>
      </c>
      <c r="E178" s="1" t="s">
        <v>252</v>
      </c>
      <c r="F178" s="1" t="e">
        <f>#REF!</f>
        <v>#REF!</v>
      </c>
      <c r="G178" s="22">
        <f>IFERROR(VLOOKUP(D178,'データ（触らない）'!$R$3:$S$17,2,FALSE),0)</f>
        <v>0</v>
      </c>
      <c r="H178" s="22" t="e">
        <f t="shared" si="14"/>
        <v>#REF!</v>
      </c>
    </row>
    <row r="179" spans="1:8">
      <c r="A179">
        <v>171</v>
      </c>
      <c r="B179" s="21" t="e">
        <f>#REF!</f>
        <v>#REF!</v>
      </c>
      <c r="C179" s="20" t="e">
        <f>#REF!</f>
        <v>#REF!</v>
      </c>
      <c r="D179" s="1" t="e">
        <f>#REF!</f>
        <v>#REF!</v>
      </c>
      <c r="E179" s="1" t="s">
        <v>252</v>
      </c>
      <c r="F179" s="1" t="e">
        <f>#REF!</f>
        <v>#REF!</v>
      </c>
      <c r="G179" s="22">
        <f>IFERROR(VLOOKUP(D179,'データ（触らない）'!$R$3:$S$17,2,FALSE),0)</f>
        <v>0</v>
      </c>
      <c r="H179" s="22" t="e">
        <f t="shared" si="14"/>
        <v>#REF!</v>
      </c>
    </row>
    <row r="180" spans="1:8">
      <c r="A180">
        <v>172</v>
      </c>
      <c r="B180" s="21" t="e">
        <f>#REF!</f>
        <v>#REF!</v>
      </c>
      <c r="C180" s="20" t="e">
        <f>#REF!</f>
        <v>#REF!</v>
      </c>
      <c r="D180" s="1" t="e">
        <f>#REF!</f>
        <v>#REF!</v>
      </c>
      <c r="E180" s="1" t="s">
        <v>252</v>
      </c>
      <c r="F180" s="1" t="e">
        <f>#REF!</f>
        <v>#REF!</v>
      </c>
      <c r="G180" s="22">
        <f>IFERROR(VLOOKUP(D180,'データ（触らない）'!$R$3:$S$17,2,FALSE),0)</f>
        <v>0</v>
      </c>
      <c r="H180" s="22" t="e">
        <f t="shared" si="14"/>
        <v>#REF!</v>
      </c>
    </row>
    <row r="181" spans="1:8">
      <c r="A181">
        <v>173</v>
      </c>
      <c r="B181" s="21" t="e">
        <f>#REF!</f>
        <v>#REF!</v>
      </c>
      <c r="C181" s="20" t="e">
        <f>#REF!</f>
        <v>#REF!</v>
      </c>
      <c r="D181" s="1" t="e">
        <f>#REF!</f>
        <v>#REF!</v>
      </c>
      <c r="E181" s="1" t="s">
        <v>252</v>
      </c>
      <c r="F181" s="1" t="e">
        <f>#REF!</f>
        <v>#REF!</v>
      </c>
      <c r="G181" s="22">
        <f>IFERROR(VLOOKUP(D181,'データ（触らない）'!$R$3:$S$17,2,FALSE),0)</f>
        <v>0</v>
      </c>
      <c r="H181" s="22" t="e">
        <f t="shared" si="14"/>
        <v>#REF!</v>
      </c>
    </row>
    <row r="182" spans="1:8">
      <c r="A182">
        <v>174</v>
      </c>
      <c r="B182" s="21" t="e">
        <f>#REF!</f>
        <v>#REF!</v>
      </c>
      <c r="C182" s="20" t="e">
        <f>#REF!</f>
        <v>#REF!</v>
      </c>
      <c r="D182" s="1" t="e">
        <f>#REF!</f>
        <v>#REF!</v>
      </c>
      <c r="E182" s="1" t="s">
        <v>252</v>
      </c>
      <c r="F182" s="1" t="e">
        <f>#REF!</f>
        <v>#REF!</v>
      </c>
      <c r="G182" s="22">
        <f>IFERROR(VLOOKUP(D182,'データ（触らない）'!$R$3:$S$17,2,FALSE),0)</f>
        <v>0</v>
      </c>
      <c r="H182" s="22" t="e">
        <f t="shared" si="14"/>
        <v>#REF!</v>
      </c>
    </row>
    <row r="183" spans="1:8">
      <c r="A183">
        <v>175</v>
      </c>
      <c r="B183" s="21" t="e">
        <f>#REF!</f>
        <v>#REF!</v>
      </c>
      <c r="C183" s="20" t="e">
        <f>#REF!</f>
        <v>#REF!</v>
      </c>
      <c r="D183" s="1" t="e">
        <f>#REF!</f>
        <v>#REF!</v>
      </c>
      <c r="E183" s="1" t="s">
        <v>252</v>
      </c>
      <c r="F183" s="1" t="e">
        <f>#REF!</f>
        <v>#REF!</v>
      </c>
      <c r="G183" s="22">
        <f>IFERROR(VLOOKUP(D183,'データ（触らない）'!$R$3:$S$17,2,FALSE),0)</f>
        <v>0</v>
      </c>
      <c r="H183" s="22" t="e">
        <f t="shared" si="14"/>
        <v>#REF!</v>
      </c>
    </row>
    <row r="184" spans="1:8">
      <c r="A184">
        <v>176</v>
      </c>
      <c r="B184" s="21" t="e">
        <f>#REF!</f>
        <v>#REF!</v>
      </c>
      <c r="C184" s="20" t="e">
        <f>#REF!</f>
        <v>#REF!</v>
      </c>
      <c r="D184" s="1" t="e">
        <f>#REF!</f>
        <v>#REF!</v>
      </c>
      <c r="E184" s="1" t="s">
        <v>252</v>
      </c>
      <c r="F184" s="1" t="e">
        <f>#REF!</f>
        <v>#REF!</v>
      </c>
      <c r="G184" s="22">
        <f>IFERROR(VLOOKUP(D184,'データ（触らない）'!$R$3:$S$17,2,FALSE),0)</f>
        <v>0</v>
      </c>
      <c r="H184" s="22" t="e">
        <f t="shared" si="14"/>
        <v>#REF!</v>
      </c>
    </row>
    <row r="185" spans="1:8">
      <c r="A185">
        <v>177</v>
      </c>
      <c r="B185" s="21" t="e">
        <f>#REF!</f>
        <v>#REF!</v>
      </c>
      <c r="C185" s="20" t="e">
        <f>#REF!</f>
        <v>#REF!</v>
      </c>
      <c r="D185" s="1" t="e">
        <f>#REF!</f>
        <v>#REF!</v>
      </c>
      <c r="E185" s="1" t="s">
        <v>252</v>
      </c>
      <c r="F185" s="1" t="e">
        <f>#REF!</f>
        <v>#REF!</v>
      </c>
      <c r="G185" s="22">
        <f>IFERROR(VLOOKUP(D185,'データ（触らない）'!$R$3:$S$17,2,FALSE),0)</f>
        <v>0</v>
      </c>
      <c r="H185" s="22" t="e">
        <f t="shared" si="14"/>
        <v>#REF!</v>
      </c>
    </row>
    <row r="186" spans="1:8">
      <c r="A186">
        <v>178</v>
      </c>
      <c r="B186" s="21" t="e">
        <f>#REF!</f>
        <v>#REF!</v>
      </c>
      <c r="C186" s="20" t="e">
        <f>#REF!</f>
        <v>#REF!</v>
      </c>
      <c r="D186" s="1" t="e">
        <f>#REF!</f>
        <v>#REF!</v>
      </c>
      <c r="E186" s="1" t="s">
        <v>252</v>
      </c>
      <c r="F186" s="1" t="e">
        <f>#REF!</f>
        <v>#REF!</v>
      </c>
      <c r="G186" s="22">
        <f>IFERROR(VLOOKUP(D186,'データ（触らない）'!$R$3:$S$17,2,FALSE),0)</f>
        <v>0</v>
      </c>
      <c r="H186" s="22" t="e">
        <f t="shared" si="14"/>
        <v>#REF!</v>
      </c>
    </row>
    <row r="187" spans="1:8">
      <c r="A187">
        <v>179</v>
      </c>
      <c r="B187" s="21" t="e">
        <f>#REF!</f>
        <v>#REF!</v>
      </c>
      <c r="C187" s="20" t="e">
        <f>#REF!</f>
        <v>#REF!</v>
      </c>
      <c r="D187" s="1" t="e">
        <f>#REF!</f>
        <v>#REF!</v>
      </c>
      <c r="E187" s="1" t="s">
        <v>252</v>
      </c>
      <c r="F187" s="1" t="e">
        <f>#REF!</f>
        <v>#REF!</v>
      </c>
      <c r="G187" s="22">
        <f>IFERROR(VLOOKUP(D187,'データ（触らない）'!$R$3:$S$17,2,FALSE),0)</f>
        <v>0</v>
      </c>
      <c r="H187" s="22" t="e">
        <f t="shared" si="14"/>
        <v>#REF!</v>
      </c>
    </row>
    <row r="188" spans="1:8">
      <c r="A188">
        <v>180</v>
      </c>
      <c r="B188" s="21" t="e">
        <f>#REF!</f>
        <v>#REF!</v>
      </c>
      <c r="C188" s="20" t="e">
        <f>#REF!</f>
        <v>#REF!</v>
      </c>
      <c r="D188" s="1" t="e">
        <f>#REF!</f>
        <v>#REF!</v>
      </c>
      <c r="E188" s="1" t="e">
        <f>#REF!</f>
        <v>#REF!</v>
      </c>
      <c r="F188" s="1" t="e">
        <f>IF(E188=0,0,1)</f>
        <v>#REF!</v>
      </c>
      <c r="G188" s="22" t="e">
        <f>IF(#REF!="〇",#REF!,#REF!)</f>
        <v>#REF!</v>
      </c>
      <c r="H188" s="22" t="e">
        <f t="shared" si="14"/>
        <v>#REF!</v>
      </c>
    </row>
    <row r="189" spans="1:8">
      <c r="A189">
        <v>181</v>
      </c>
      <c r="B189" s="21" t="e">
        <f>#REF!</f>
        <v>#REF!</v>
      </c>
      <c r="C189" s="20" t="e">
        <f>#REF!</f>
        <v>#REF!</v>
      </c>
      <c r="D189" s="1" t="e">
        <f>#REF!</f>
        <v>#REF!</v>
      </c>
      <c r="E189" s="1" t="s">
        <v>252</v>
      </c>
      <c r="F189" s="1" t="e">
        <f>#REF!</f>
        <v>#REF!</v>
      </c>
      <c r="G189" s="22">
        <f>IFERROR(VLOOKUP(D189,'データ（触らない）'!$R$21:$S$29,2,FALSE),0)</f>
        <v>0</v>
      </c>
      <c r="H189" s="22" t="e">
        <f t="shared" si="14"/>
        <v>#REF!</v>
      </c>
    </row>
    <row r="190" spans="1:8">
      <c r="A190">
        <v>182</v>
      </c>
      <c r="B190" s="21" t="e">
        <f>#REF!</f>
        <v>#REF!</v>
      </c>
      <c r="C190" s="20" t="e">
        <f>#REF!</f>
        <v>#REF!</v>
      </c>
      <c r="D190" s="1" t="e">
        <f>#REF!</f>
        <v>#REF!</v>
      </c>
      <c r="E190" s="1" t="s">
        <v>252</v>
      </c>
      <c r="F190" s="1" t="e">
        <f>#REF!</f>
        <v>#REF!</v>
      </c>
      <c r="G190" s="22">
        <f>IFERROR(VLOOKUP(D190,'データ（触らない）'!$R$21:$S$29,2,FALSE),0)</f>
        <v>0</v>
      </c>
      <c r="H190" s="22" t="e">
        <f t="shared" si="14"/>
        <v>#REF!</v>
      </c>
    </row>
    <row r="191" spans="1:8">
      <c r="A191">
        <v>183</v>
      </c>
      <c r="B191" s="21" t="e">
        <f>#REF!</f>
        <v>#REF!</v>
      </c>
      <c r="C191" s="20" t="e">
        <f>#REF!</f>
        <v>#REF!</v>
      </c>
      <c r="D191" s="1" t="e">
        <f>#REF!</f>
        <v>#REF!</v>
      </c>
      <c r="E191" s="1" t="s">
        <v>252</v>
      </c>
      <c r="F191" s="1" t="e">
        <f>#REF!</f>
        <v>#REF!</v>
      </c>
      <c r="G191" s="22">
        <f>IFERROR(VLOOKUP(D191,'データ（触らない）'!$R$21:$S$29,2,FALSE),0)</f>
        <v>0</v>
      </c>
      <c r="H191" s="22" t="e">
        <f t="shared" si="14"/>
        <v>#REF!</v>
      </c>
    </row>
    <row r="192" spans="1:8">
      <c r="A192">
        <v>184</v>
      </c>
      <c r="B192" s="21" t="e">
        <f>#REF!</f>
        <v>#REF!</v>
      </c>
      <c r="C192" s="20" t="e">
        <f>#REF!</f>
        <v>#REF!</v>
      </c>
      <c r="D192" s="1" t="e">
        <f>#REF!</f>
        <v>#REF!</v>
      </c>
      <c r="E192" s="1" t="s">
        <v>252</v>
      </c>
      <c r="F192" s="1" t="e">
        <f>#REF!</f>
        <v>#REF!</v>
      </c>
      <c r="G192" s="22">
        <f>IFERROR(VLOOKUP(D192,'データ（触らない）'!$R$21:$S$29,2,FALSE),0)</f>
        <v>0</v>
      </c>
      <c r="H192" s="22" t="e">
        <f t="shared" si="14"/>
        <v>#REF!</v>
      </c>
    </row>
    <row r="193" spans="1:8">
      <c r="A193">
        <v>185</v>
      </c>
      <c r="B193" s="21" t="e">
        <f>#REF!</f>
        <v>#REF!</v>
      </c>
      <c r="C193" s="20" t="e">
        <f>#REF!</f>
        <v>#REF!</v>
      </c>
      <c r="D193" s="1" t="e">
        <f>#REF!</f>
        <v>#REF!</v>
      </c>
      <c r="E193" s="1" t="s">
        <v>252</v>
      </c>
      <c r="F193" s="1" t="e">
        <f>#REF!</f>
        <v>#REF!</v>
      </c>
      <c r="G193" s="22">
        <f>IFERROR(VLOOKUP(D193,'データ（触らない）'!$R$21:$S$29,2,FALSE),0)</f>
        <v>0</v>
      </c>
      <c r="H193" s="22" t="e">
        <f t="shared" si="14"/>
        <v>#REF!</v>
      </c>
    </row>
    <row r="194" spans="1:8">
      <c r="A194">
        <v>186</v>
      </c>
      <c r="B194" s="21" t="e">
        <f>#REF!</f>
        <v>#REF!</v>
      </c>
      <c r="C194" s="20" t="e">
        <f>#REF!</f>
        <v>#REF!</v>
      </c>
      <c r="D194" s="1" t="e">
        <f>#REF!</f>
        <v>#REF!</v>
      </c>
      <c r="E194" s="1" t="s">
        <v>252</v>
      </c>
      <c r="F194" s="1" t="e">
        <f>#REF!</f>
        <v>#REF!</v>
      </c>
      <c r="G194" s="22">
        <f>IFERROR(VLOOKUP(D194,'データ（触らない）'!$R$21:$S$29,2,FALSE),0)</f>
        <v>0</v>
      </c>
      <c r="H194" s="22" t="e">
        <f t="shared" si="14"/>
        <v>#REF!</v>
      </c>
    </row>
    <row r="195" spans="1:8">
      <c r="A195">
        <v>187</v>
      </c>
      <c r="B195" s="21" t="e">
        <f>#REF!</f>
        <v>#REF!</v>
      </c>
      <c r="C195" s="20" t="e">
        <f>#REF!</f>
        <v>#REF!</v>
      </c>
      <c r="D195" s="1" t="e">
        <f>#REF!</f>
        <v>#REF!</v>
      </c>
      <c r="E195" s="1" t="e">
        <f>#REF!</f>
        <v>#REF!</v>
      </c>
      <c r="F195" s="1" t="e">
        <f t="shared" ref="F195" si="15">IF(E195=0,0,1)</f>
        <v>#REF!</v>
      </c>
      <c r="G195" s="22" t="e">
        <f>IF(#REF!="〇",#REF!,#REF!)</f>
        <v>#REF!</v>
      </c>
      <c r="H195" s="22" t="e">
        <f t="shared" si="14"/>
        <v>#REF!</v>
      </c>
    </row>
    <row r="196" spans="1:8">
      <c r="A196">
        <v>188</v>
      </c>
      <c r="B196" s="21" t="e">
        <f>#REF!</f>
        <v>#REF!</v>
      </c>
      <c r="C196" s="20" t="e">
        <f>#REF!</f>
        <v>#REF!</v>
      </c>
      <c r="D196" s="1" t="e">
        <f>#REF!</f>
        <v>#REF!</v>
      </c>
      <c r="E196" s="1" t="s">
        <v>252</v>
      </c>
      <c r="F196" s="1" t="e">
        <f>#REF!</f>
        <v>#REF!</v>
      </c>
      <c r="G196" s="22">
        <f>IFERROR(VLOOKUP(D196,'データ（触らない）'!$R$33:$S$40,2,FALSE),0)</f>
        <v>0</v>
      </c>
      <c r="H196" s="22" t="e">
        <f t="shared" si="14"/>
        <v>#REF!</v>
      </c>
    </row>
    <row r="197" spans="1:8">
      <c r="A197">
        <v>189</v>
      </c>
      <c r="B197" s="21" t="e">
        <f>#REF!</f>
        <v>#REF!</v>
      </c>
      <c r="C197" s="20" t="e">
        <f>#REF!</f>
        <v>#REF!</v>
      </c>
      <c r="D197" s="1" t="e">
        <f>#REF!</f>
        <v>#REF!</v>
      </c>
      <c r="E197" s="1" t="s">
        <v>252</v>
      </c>
      <c r="F197" s="1" t="e">
        <f>#REF!</f>
        <v>#REF!</v>
      </c>
      <c r="G197" s="22">
        <f>IFERROR(VLOOKUP(D197,'データ（触らない）'!$R$33:$S$40,2,FALSE),0)</f>
        <v>0</v>
      </c>
      <c r="H197" s="22" t="e">
        <f t="shared" si="14"/>
        <v>#REF!</v>
      </c>
    </row>
    <row r="198" spans="1:8">
      <c r="A198">
        <v>190</v>
      </c>
      <c r="B198" s="21" t="e">
        <f>#REF!</f>
        <v>#REF!</v>
      </c>
      <c r="C198" s="20" t="e">
        <f>#REF!</f>
        <v>#REF!</v>
      </c>
      <c r="D198" s="1" t="e">
        <f>#REF!</f>
        <v>#REF!</v>
      </c>
      <c r="E198" s="1" t="s">
        <v>252</v>
      </c>
      <c r="F198" s="1" t="e">
        <f>#REF!</f>
        <v>#REF!</v>
      </c>
      <c r="G198" s="22">
        <f>IFERROR(VLOOKUP(D198,'データ（触らない）'!$R$33:$S$40,2,FALSE),0)</f>
        <v>0</v>
      </c>
      <c r="H198" s="22" t="e">
        <f t="shared" si="14"/>
        <v>#REF!</v>
      </c>
    </row>
    <row r="199" spans="1:8">
      <c r="A199">
        <v>191</v>
      </c>
      <c r="B199" s="21" t="e">
        <f>#REF!</f>
        <v>#REF!</v>
      </c>
      <c r="C199" s="20" t="e">
        <f>#REF!</f>
        <v>#REF!</v>
      </c>
      <c r="D199" s="1" t="e">
        <f>#REF!</f>
        <v>#REF!</v>
      </c>
      <c r="E199" s="1" t="s">
        <v>252</v>
      </c>
      <c r="F199" s="1" t="e">
        <f>#REF!</f>
        <v>#REF!</v>
      </c>
      <c r="G199" s="22">
        <f>IFERROR(VLOOKUP(D199,'データ（触らない）'!$R$33:$S$40,2,FALSE),0)</f>
        <v>0</v>
      </c>
      <c r="H199" s="22" t="e">
        <f t="shared" si="14"/>
        <v>#REF!</v>
      </c>
    </row>
    <row r="200" spans="1:8">
      <c r="A200">
        <v>192</v>
      </c>
      <c r="B200" s="21" t="e">
        <f>#REF!</f>
        <v>#REF!</v>
      </c>
      <c r="C200" s="20" t="e">
        <f>#REF!</f>
        <v>#REF!</v>
      </c>
      <c r="D200" s="1" t="e">
        <f>#REF!</f>
        <v>#REF!</v>
      </c>
      <c r="E200" s="1" t="s">
        <v>252</v>
      </c>
      <c r="F200" s="1" t="e">
        <f>#REF!</f>
        <v>#REF!</v>
      </c>
      <c r="G200" s="22">
        <f>IFERROR(VLOOKUP(D200,'データ（触らない）'!$R$33:$S$40,2,FALSE),0)</f>
        <v>0</v>
      </c>
      <c r="H200" s="22" t="e">
        <f t="shared" si="14"/>
        <v>#REF!</v>
      </c>
    </row>
    <row r="201" spans="1:8">
      <c r="A201">
        <v>193</v>
      </c>
      <c r="B201" s="21" t="e">
        <f>#REF!</f>
        <v>#REF!</v>
      </c>
      <c r="C201" s="20" t="e">
        <f>#REF!</f>
        <v>#REF!</v>
      </c>
      <c r="D201" s="1" t="e">
        <f>#REF!</f>
        <v>#REF!</v>
      </c>
      <c r="E201" s="1" t="s">
        <v>252</v>
      </c>
      <c r="F201" s="1" t="e">
        <f>#REF!</f>
        <v>#REF!</v>
      </c>
      <c r="G201" s="22">
        <f>IFERROR(VLOOKUP(D201,'データ（触らない）'!$R$44:$S$60,2,FALSE),0)</f>
        <v>0</v>
      </c>
      <c r="H201" s="22" t="e">
        <f t="shared" si="14"/>
        <v>#REF!</v>
      </c>
    </row>
    <row r="202" spans="1:8">
      <c r="A202">
        <v>194</v>
      </c>
      <c r="B202" s="21" t="e">
        <f>#REF!</f>
        <v>#REF!</v>
      </c>
      <c r="C202" s="20" t="e">
        <f>#REF!</f>
        <v>#REF!</v>
      </c>
      <c r="D202" s="1" t="e">
        <f>#REF!</f>
        <v>#REF!</v>
      </c>
      <c r="E202" s="1" t="s">
        <v>252</v>
      </c>
      <c r="F202" s="1" t="e">
        <f>#REF!</f>
        <v>#REF!</v>
      </c>
      <c r="G202" s="22">
        <f>IFERROR(VLOOKUP(D202,'データ（触らない）'!$R$44:$S$60,2,FALSE),0)</f>
        <v>0</v>
      </c>
      <c r="H202" s="22" t="e">
        <f t="shared" si="14"/>
        <v>#REF!</v>
      </c>
    </row>
    <row r="203" spans="1:8">
      <c r="A203">
        <v>195</v>
      </c>
      <c r="B203" s="21" t="e">
        <f>#REF!</f>
        <v>#REF!</v>
      </c>
      <c r="C203" s="20" t="e">
        <f>#REF!</f>
        <v>#REF!</v>
      </c>
      <c r="D203" s="1" t="e">
        <f>#REF!</f>
        <v>#REF!</v>
      </c>
      <c r="E203" s="1" t="s">
        <v>252</v>
      </c>
      <c r="F203" s="1" t="e">
        <f>#REF!</f>
        <v>#REF!</v>
      </c>
      <c r="G203" s="22">
        <f>IFERROR(VLOOKUP(D203,'データ（触らない）'!$R$44:$S$60,2,FALSE),0)</f>
        <v>0</v>
      </c>
      <c r="H203" s="22" t="e">
        <f t="shared" si="14"/>
        <v>#REF!</v>
      </c>
    </row>
    <row r="204" spans="1:8">
      <c r="A204">
        <v>196</v>
      </c>
      <c r="B204" s="21" t="e">
        <f>#REF!</f>
        <v>#REF!</v>
      </c>
      <c r="C204" s="20" t="e">
        <f>#REF!</f>
        <v>#REF!</v>
      </c>
      <c r="D204" s="1" t="e">
        <f>#REF!</f>
        <v>#REF!</v>
      </c>
      <c r="E204" s="1" t="s">
        <v>252</v>
      </c>
      <c r="F204" s="1" t="e">
        <f>#REF!</f>
        <v>#REF!</v>
      </c>
      <c r="G204" s="22">
        <f>IFERROR(VLOOKUP(D204,'データ（触らない）'!$R$44:$S$60,2,FALSE),0)</f>
        <v>0</v>
      </c>
      <c r="H204" s="22" t="e">
        <f t="shared" si="14"/>
        <v>#REF!</v>
      </c>
    </row>
    <row r="205" spans="1:8">
      <c r="A205">
        <v>197</v>
      </c>
      <c r="B205" s="21" t="e">
        <f>#REF!</f>
        <v>#REF!</v>
      </c>
      <c r="C205" s="20" t="e">
        <f>#REF!</f>
        <v>#REF!</v>
      </c>
      <c r="D205" s="1" t="e">
        <f>#REF!</f>
        <v>#REF!</v>
      </c>
      <c r="E205" s="1" t="s">
        <v>252</v>
      </c>
      <c r="F205" s="1" t="e">
        <f>#REF!</f>
        <v>#REF!</v>
      </c>
      <c r="G205" s="22">
        <f>IFERROR(VLOOKUP(D205,'データ（触らない）'!$R$44:$S$60,2,FALSE),0)</f>
        <v>0</v>
      </c>
      <c r="H205" s="22" t="e">
        <f t="shared" si="14"/>
        <v>#REF!</v>
      </c>
    </row>
    <row r="206" spans="1:8">
      <c r="A206">
        <v>198</v>
      </c>
      <c r="B206" s="21" t="e">
        <f>#REF!</f>
        <v>#REF!</v>
      </c>
      <c r="C206" s="20" t="e">
        <f>#REF!</f>
        <v>#REF!</v>
      </c>
      <c r="D206" s="1" t="e">
        <f>#REF!</f>
        <v>#REF!</v>
      </c>
      <c r="E206" s="1" t="s">
        <v>252</v>
      </c>
      <c r="F206" s="1" t="e">
        <f>#REF!</f>
        <v>#REF!</v>
      </c>
      <c r="G206" s="22">
        <f>IFERROR(VLOOKUP(D206,'データ（触らない）'!$R$44:$S$60,2,FALSE),0)</f>
        <v>0</v>
      </c>
      <c r="H206" s="22" t="e">
        <f t="shared" si="14"/>
        <v>#REF!</v>
      </c>
    </row>
    <row r="207" spans="1:8">
      <c r="A207">
        <v>199</v>
      </c>
      <c r="B207" s="21" t="e">
        <f>#REF!</f>
        <v>#REF!</v>
      </c>
      <c r="C207" s="20" t="e">
        <f>#REF!</f>
        <v>#REF!</v>
      </c>
      <c r="D207" s="1" t="e">
        <f>#REF!</f>
        <v>#REF!</v>
      </c>
      <c r="E207" s="1" t="s">
        <v>252</v>
      </c>
      <c r="F207" s="1" t="e">
        <f>#REF!</f>
        <v>#REF!</v>
      </c>
      <c r="G207" s="22">
        <f>IFERROR(VLOOKUP(D207,'データ（触らない）'!$R$44:$S$60,2,FALSE),0)</f>
        <v>0</v>
      </c>
      <c r="H207" s="22" t="e">
        <f t="shared" si="14"/>
        <v>#REF!</v>
      </c>
    </row>
    <row r="208" spans="1:8">
      <c r="A208">
        <v>200</v>
      </c>
      <c r="B208" s="21" t="e">
        <f>#REF!</f>
        <v>#REF!</v>
      </c>
      <c r="C208" s="20" t="e">
        <f>#REF!</f>
        <v>#REF!</v>
      </c>
      <c r="D208" s="1" t="e">
        <f>#REF!</f>
        <v>#REF!</v>
      </c>
      <c r="E208" s="1" t="s">
        <v>252</v>
      </c>
      <c r="F208" s="1" t="e">
        <f>#REF!</f>
        <v>#REF!</v>
      </c>
      <c r="G208" s="22">
        <f>IFERROR(VLOOKUP(D208,'データ（触らない）'!$R$44:$S$60,2,FALSE),0)</f>
        <v>0</v>
      </c>
      <c r="H208" s="22" t="e">
        <f t="shared" si="14"/>
        <v>#REF!</v>
      </c>
    </row>
    <row r="209" spans="1:8">
      <c r="A209">
        <v>201</v>
      </c>
      <c r="B209" s="21" t="e">
        <f>#REF!</f>
        <v>#REF!</v>
      </c>
      <c r="C209" s="20" t="e">
        <f>#REF!</f>
        <v>#REF!</v>
      </c>
      <c r="D209" s="1" t="e">
        <f>#REF!</f>
        <v>#REF!</v>
      </c>
      <c r="E209" s="1" t="s">
        <v>252</v>
      </c>
      <c r="F209" s="1" t="e">
        <f>#REF!</f>
        <v>#REF!</v>
      </c>
      <c r="G209" s="22">
        <f>IFERROR(VLOOKUP(D209,'データ（触らない）'!$R$44:$S$60,2,FALSE),0)</f>
        <v>0</v>
      </c>
      <c r="H209" s="22" t="e">
        <f t="shared" si="14"/>
        <v>#REF!</v>
      </c>
    </row>
    <row r="210" spans="1:8">
      <c r="A210">
        <v>202</v>
      </c>
      <c r="B210" s="21" t="e">
        <f>#REF!</f>
        <v>#REF!</v>
      </c>
      <c r="C210" s="20" t="e">
        <f>#REF!</f>
        <v>#REF!</v>
      </c>
      <c r="D210" s="1" t="e">
        <f>#REF!</f>
        <v>#REF!</v>
      </c>
      <c r="E210" s="1" t="s">
        <v>252</v>
      </c>
      <c r="F210" s="1" t="e">
        <f>#REF!</f>
        <v>#REF!</v>
      </c>
      <c r="G210" s="22">
        <f>IFERROR(VLOOKUP(D210,'データ（触らない）'!$R$44:$S$60,2,FALSE),0)</f>
        <v>0</v>
      </c>
      <c r="H210" s="22" t="e">
        <f t="shared" si="14"/>
        <v>#REF!</v>
      </c>
    </row>
    <row r="211" spans="1:8">
      <c r="A211">
        <v>203</v>
      </c>
      <c r="B211" s="21" t="e">
        <f>#REF!</f>
        <v>#REF!</v>
      </c>
      <c r="C211" s="20" t="e">
        <f>#REF!</f>
        <v>#REF!</v>
      </c>
      <c r="D211" s="1" t="e">
        <f>#REF!</f>
        <v>#REF!</v>
      </c>
      <c r="E211" s="1" t="s">
        <v>252</v>
      </c>
      <c r="F211" s="1" t="e">
        <f>#REF!</f>
        <v>#REF!</v>
      </c>
      <c r="G211" s="22">
        <f>IFERROR(VLOOKUP(D211,'データ（触らない）'!$R$44:$S$60,2,FALSE),0)</f>
        <v>0</v>
      </c>
      <c r="H211" s="22" t="e">
        <f t="shared" si="14"/>
        <v>#REF!</v>
      </c>
    </row>
    <row r="212" spans="1:8">
      <c r="A212">
        <v>204</v>
      </c>
      <c r="B212" s="21" t="e">
        <f>#REF!</f>
        <v>#REF!</v>
      </c>
      <c r="C212" s="20" t="e">
        <f>#REF!</f>
        <v>#REF!</v>
      </c>
      <c r="D212" s="1" t="e">
        <f>#REF!</f>
        <v>#REF!</v>
      </c>
      <c r="E212" s="1" t="s">
        <v>252</v>
      </c>
      <c r="F212" s="1" t="e">
        <f>#REF!</f>
        <v>#REF!</v>
      </c>
      <c r="G212" s="22">
        <f>IFERROR(VLOOKUP(D212,'データ（触らない）'!$R$44:$S$60,2,FALSE),0)</f>
        <v>0</v>
      </c>
      <c r="H212" s="22" t="e">
        <f t="shared" si="14"/>
        <v>#REF!</v>
      </c>
    </row>
    <row r="213" spans="1:8">
      <c r="A213">
        <v>205</v>
      </c>
      <c r="B213" s="21" t="e">
        <f>#REF!</f>
        <v>#REF!</v>
      </c>
      <c r="C213" s="20" t="e">
        <f>#REF!</f>
        <v>#REF!</v>
      </c>
      <c r="D213" s="1" t="e">
        <f>#REF!</f>
        <v>#REF!</v>
      </c>
      <c r="E213" s="1" t="s">
        <v>252</v>
      </c>
      <c r="F213" s="1" t="e">
        <f>#REF!</f>
        <v>#REF!</v>
      </c>
      <c r="G213" s="22">
        <f>IFERROR(VLOOKUP(D213,'データ（触らない）'!$R$44:$S$60,2,FALSE),0)</f>
        <v>0</v>
      </c>
      <c r="H213" s="22" t="e">
        <f t="shared" si="14"/>
        <v>#REF!</v>
      </c>
    </row>
  </sheetData>
  <sheetProtection algorithmName="SHA-512" hashValue="MP4E018IYL9H/vbysFGHVAvt4MRr30GNLnLM22n5bbzeN9VFTE9a8YMaPHENf+I1gwctZpScT0H/inPpMaDZvQ==" saltValue="cnMKRNlOYD6I17krqCOJKA==" spinCount="100000" sheet="1" objects="1" scenarios="1"/>
  <autoFilter ref="A8:H213" xr:uid="{56018501-0681-4016-8F2F-83B42C2814BB}"/>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1C159-03B7-4DCA-A1C7-0030A2F65CDD}">
  <sheetPr codeName="Sheet2">
    <tabColor rgb="FFFFC000"/>
  </sheetPr>
  <dimension ref="A1:O133"/>
  <sheetViews>
    <sheetView tabSelected="1" view="pageBreakPreview" topLeftCell="A101" zoomScaleNormal="40" zoomScaleSheetLayoutView="100" workbookViewId="0">
      <selection activeCell="C108" sqref="C108"/>
    </sheetView>
  </sheetViews>
  <sheetFormatPr defaultColWidth="14.59765625" defaultRowHeight="30" customHeight="1"/>
  <cols>
    <col min="1" max="1" width="3.296875" bestFit="1" customWidth="1"/>
    <col min="2" max="2" width="14.69921875" customWidth="1"/>
    <col min="3" max="5" width="14.796875" customWidth="1"/>
    <col min="7" max="7" width="13.19921875" customWidth="1"/>
    <col min="8" max="8" width="7.5" customWidth="1"/>
    <col min="13" max="13" width="7.09765625" customWidth="1"/>
    <col min="14" max="14" width="12.69921875" customWidth="1"/>
  </cols>
  <sheetData>
    <row r="1" spans="1:8" ht="30" customHeight="1" thickBot="1">
      <c r="A1" s="1" t="s">
        <v>0</v>
      </c>
      <c r="B1" t="s">
        <v>23</v>
      </c>
    </row>
    <row r="2" spans="1:8" ht="30" customHeight="1">
      <c r="A2" s="1"/>
      <c r="B2" s="115" t="s">
        <v>24</v>
      </c>
      <c r="C2" s="214">
        <v>45930</v>
      </c>
      <c r="D2" s="215"/>
      <c r="E2" s="215"/>
      <c r="F2" s="216"/>
    </row>
    <row r="3" spans="1:8" ht="30" customHeight="1">
      <c r="B3" s="115" t="s">
        <v>25</v>
      </c>
      <c r="C3" s="217" t="s">
        <v>26</v>
      </c>
      <c r="D3" s="218"/>
      <c r="E3" s="218"/>
      <c r="F3" s="219"/>
    </row>
    <row r="4" spans="1:8" ht="30" customHeight="1">
      <c r="B4" s="115" t="s">
        <v>27</v>
      </c>
      <c r="C4" s="217" t="s">
        <v>28</v>
      </c>
      <c r="D4" s="218"/>
      <c r="E4" s="218"/>
      <c r="F4" s="219"/>
    </row>
    <row r="5" spans="1:8" ht="30" customHeight="1">
      <c r="B5" s="115" t="s">
        <v>29</v>
      </c>
      <c r="C5" s="220" t="s">
        <v>30</v>
      </c>
      <c r="D5" s="218"/>
      <c r="E5" s="218"/>
      <c r="F5" s="219"/>
    </row>
    <row r="6" spans="1:8" ht="30" customHeight="1">
      <c r="B6" s="115" t="s">
        <v>31</v>
      </c>
      <c r="C6" s="217" t="s">
        <v>32</v>
      </c>
      <c r="D6" s="218"/>
      <c r="E6" s="218"/>
      <c r="F6" s="219"/>
    </row>
    <row r="7" spans="1:8" ht="30" customHeight="1">
      <c r="B7" s="115" t="s">
        <v>33</v>
      </c>
      <c r="C7" s="217" t="s">
        <v>34</v>
      </c>
      <c r="D7" s="218"/>
      <c r="E7" s="218"/>
      <c r="F7" s="219"/>
    </row>
    <row r="8" spans="1:8" ht="30" customHeight="1" thickBot="1">
      <c r="B8" s="116" t="s">
        <v>35</v>
      </c>
      <c r="C8" s="221" t="s">
        <v>36</v>
      </c>
      <c r="D8" s="222"/>
      <c r="E8" s="222"/>
      <c r="F8" s="223"/>
    </row>
    <row r="9" spans="1:8" ht="30" customHeight="1" thickBot="1">
      <c r="A9" t="s">
        <v>0</v>
      </c>
      <c r="B9" s="120" t="s">
        <v>37</v>
      </c>
    </row>
    <row r="10" spans="1:8" ht="30" customHeight="1">
      <c r="B10" s="122" t="s">
        <v>38</v>
      </c>
      <c r="C10" s="224" t="s">
        <v>39</v>
      </c>
      <c r="D10" s="225"/>
      <c r="E10" s="225"/>
      <c r="F10" s="226"/>
    </row>
    <row r="11" spans="1:8" ht="30" customHeight="1">
      <c r="B11" s="115" t="s">
        <v>40</v>
      </c>
      <c r="C11" s="209" t="s">
        <v>41</v>
      </c>
      <c r="D11" s="210"/>
      <c r="E11" s="210"/>
      <c r="F11" s="211"/>
    </row>
    <row r="12" spans="1:8" ht="24.6" customHeight="1">
      <c r="B12" s="204" t="s">
        <v>254</v>
      </c>
      <c r="C12" s="128"/>
      <c r="D12" s="118" t="str">
        <f>TEXT(C12,"(aaa)")</f>
        <v>(土)</v>
      </c>
      <c r="E12" s="127"/>
      <c r="F12" s="123" t="s">
        <v>42</v>
      </c>
      <c r="H12" s="117"/>
    </row>
    <row r="13" spans="1:8" ht="24.6" customHeight="1">
      <c r="B13" s="205"/>
      <c r="C13" s="128"/>
      <c r="D13" s="118" t="str">
        <f>TEXT(C13,"(aaa)")</f>
        <v>(土)</v>
      </c>
      <c r="E13" s="127"/>
      <c r="F13" s="123" t="s">
        <v>43</v>
      </c>
      <c r="H13" s="117"/>
    </row>
    <row r="14" spans="1:8" ht="30" customHeight="1">
      <c r="B14" s="172"/>
      <c r="C14" s="119"/>
      <c r="D14" s="121"/>
      <c r="E14" s="124">
        <f>DATEDIF(C12,C13,"d") + 1</f>
        <v>1</v>
      </c>
      <c r="F14" s="123" t="s">
        <v>44</v>
      </c>
      <c r="H14" s="117"/>
    </row>
    <row r="15" spans="1:8" ht="30" customHeight="1">
      <c r="B15" s="115" t="s">
        <v>255</v>
      </c>
      <c r="C15" s="209"/>
      <c r="D15" s="210"/>
      <c r="E15" s="210"/>
      <c r="F15" s="211"/>
    </row>
    <row r="16" spans="1:8" ht="30" customHeight="1" thickBot="1">
      <c r="B16" s="174" t="s">
        <v>257</v>
      </c>
      <c r="C16" s="206"/>
      <c r="D16" s="207"/>
      <c r="E16" s="207"/>
      <c r="F16" s="208"/>
    </row>
    <row r="17" spans="1:15" ht="67.05" customHeight="1" thickBot="1">
      <c r="B17" s="173" t="s">
        <v>256</v>
      </c>
      <c r="C17" s="306"/>
      <c r="D17" s="307"/>
      <c r="E17" s="307"/>
      <c r="F17" s="308"/>
      <c r="K17" s="129"/>
    </row>
    <row r="18" spans="1:15" ht="30" customHeight="1">
      <c r="B18" s="2" t="s">
        <v>45</v>
      </c>
      <c r="C18" t="s">
        <v>46</v>
      </c>
    </row>
    <row r="19" spans="1:15" ht="26.1" customHeight="1" thickBot="1">
      <c r="A19" t="s">
        <v>0</v>
      </c>
      <c r="B19" t="s">
        <v>258</v>
      </c>
    </row>
    <row r="20" spans="1:15" ht="26.1" customHeight="1" thickBot="1">
      <c r="A20" s="130" t="s">
        <v>47</v>
      </c>
      <c r="B20" s="131"/>
      <c r="C20" s="131"/>
      <c r="D20" s="131"/>
      <c r="E20" s="131"/>
      <c r="F20" s="131"/>
      <c r="G20" s="131"/>
      <c r="H20" s="50"/>
    </row>
    <row r="21" spans="1:15" ht="26.1" customHeight="1" thickBot="1">
      <c r="A21" s="133"/>
      <c r="B21" s="144" t="s">
        <v>259</v>
      </c>
      <c r="C21" s="125">
        <f>C12</f>
        <v>0</v>
      </c>
      <c r="H21" s="132"/>
      <c r="K21" s="43" t="s">
        <v>48</v>
      </c>
      <c r="N21" t="s">
        <v>49</v>
      </c>
      <c r="O21" t="s">
        <v>50</v>
      </c>
    </row>
    <row r="22" spans="1:15" ht="26.1" customHeight="1" thickBot="1">
      <c r="A22" s="133"/>
      <c r="B22" s="43" t="s">
        <v>51</v>
      </c>
      <c r="C22" s="126"/>
      <c r="H22" s="132"/>
      <c r="K22" t="s">
        <v>52</v>
      </c>
      <c r="N22" t="s">
        <v>52</v>
      </c>
    </row>
    <row r="23" spans="1:15" ht="26.1" customHeight="1" thickBot="1">
      <c r="A23" s="133"/>
      <c r="B23" s="43" t="s">
        <v>53</v>
      </c>
      <c r="C23" t="s">
        <v>54</v>
      </c>
      <c r="H23" s="132"/>
      <c r="K23" s="15" t="s">
        <v>55</v>
      </c>
      <c r="L23" s="146">
        <f>IFERROR(VLOOKUP(C22,'データ（触らない）'!$G$2:$P$20,8,FALSE),0)</f>
        <v>0</v>
      </c>
      <c r="M23" s="154"/>
      <c r="N23" s="15" t="s">
        <v>55</v>
      </c>
      <c r="O23" s="146"/>
    </row>
    <row r="24" spans="1:15" ht="26.1" customHeight="1" thickBot="1">
      <c r="A24" s="133"/>
      <c r="B24" s="43"/>
      <c r="C24" s="155" t="s">
        <v>56</v>
      </c>
      <c r="D24" s="155" t="s">
        <v>57</v>
      </c>
      <c r="E24" s="155" t="s">
        <v>58</v>
      </c>
      <c r="H24" s="132"/>
      <c r="K24" s="15" t="s">
        <v>59</v>
      </c>
      <c r="L24" s="146">
        <f>D28*'データ（触らない）'!S$21+【入力様式】パーティールームA!D29*'データ（触らない）'!S$23+【入力様式】パーティールームA!D32*'データ（触らない）'!S$26+【入力様式】パーティールームA!G28*'データ（触らない）'!S$44+【入力様式】パーティールームA!G29*'データ（触らない）'!S$45+【入力様式】パーティールームA!G30*'データ（触らない）'!S$46+【入力様式】パーティールームA!G31*'データ（触らない）'!S$47+【入力様式】パーティールームA!G32*'データ（触らない）'!S$48+【入力様式】パーティールームA!G33*'データ（触らない）'!S$49+【入力様式】パーティールームA!G34*'データ（触らない）'!S$50+【入力様式】パーティールームA!G35*'データ（触らない）'!S$51+【入力様式】パーティールームA!G36*'データ（触らない）'!S$52+【入力様式】パーティールームA!G37*'データ（触らない）'!S$53</f>
        <v>0</v>
      </c>
      <c r="M24" s="154"/>
      <c r="N24" s="15" t="s">
        <v>59</v>
      </c>
      <c r="O24" s="146">
        <f>D28*'データ（触らない）'!S$21+【入力様式】パーティールームA!D29*'データ（触らない）'!S$23+【入力様式】パーティールームA!D32*'データ（触らない）'!S$26+【入力様式】パーティールームA!G28*'データ（触らない）'!S$44+【入力様式】パーティールームA!G29*'データ（触らない）'!S$45+【入力様式】パーティールームA!G30*'データ（触らない）'!S$46+【入力様式】パーティールームA!G31*'データ（触らない）'!S$47+【入力様式】パーティールームA!G32*'データ（触らない）'!S$48+【入力様式】パーティールームA!G33*'データ（触らない）'!S$49+【入力様式】パーティールームA!G34*'データ（触らない）'!S$50+【入力様式】パーティールームA!G35*'データ（触らない）'!S$51+【入力様式】パーティールームA!G36*'データ（触らない）'!S$52+【入力様式】パーティールームA!G37*'データ（触らない）'!S$53</f>
        <v>0</v>
      </c>
    </row>
    <row r="25" spans="1:15" ht="26.1" customHeight="1" thickBot="1">
      <c r="A25" s="133"/>
      <c r="B25" s="43"/>
      <c r="C25" s="156"/>
      <c r="D25" s="156"/>
      <c r="E25" s="156"/>
      <c r="H25" s="132"/>
      <c r="K25" s="6" t="s">
        <v>60</v>
      </c>
      <c r="L25" s="146">
        <f>SUM(L23:L24)</f>
        <v>0</v>
      </c>
      <c r="M25" s="154"/>
      <c r="N25" s="6" t="s">
        <v>60</v>
      </c>
      <c r="O25" s="146">
        <f>SUM(O23:O24)</f>
        <v>0</v>
      </c>
    </row>
    <row r="26" spans="1:15" ht="26.1" customHeight="1" thickBot="1">
      <c r="A26" s="133"/>
      <c r="B26" s="43" t="s">
        <v>61</v>
      </c>
      <c r="C26" t="s">
        <v>62</v>
      </c>
      <c r="G26" s="129"/>
      <c r="H26" s="134"/>
    </row>
    <row r="27" spans="1:15" ht="26.1" customHeight="1" thickBot="1">
      <c r="A27" s="133"/>
      <c r="B27" s="141" t="s">
        <v>63</v>
      </c>
      <c r="C27" s="142" t="s">
        <v>64</v>
      </c>
      <c r="D27" s="143" t="s">
        <v>65</v>
      </c>
      <c r="E27" s="141" t="s">
        <v>63</v>
      </c>
      <c r="F27" s="142" t="s">
        <v>64</v>
      </c>
      <c r="G27" s="143" t="s">
        <v>65</v>
      </c>
      <c r="H27" s="132"/>
    </row>
    <row r="28" spans="1:15" ht="26.1" customHeight="1" thickTop="1">
      <c r="A28" s="133"/>
      <c r="B28" s="167" t="s">
        <v>66</v>
      </c>
      <c r="C28" s="166" t="s">
        <v>67</v>
      </c>
      <c r="D28" s="140"/>
      <c r="E28" s="179" t="s">
        <v>261</v>
      </c>
      <c r="F28" s="9" t="s">
        <v>68</v>
      </c>
      <c r="G28" s="140"/>
      <c r="H28" s="132"/>
    </row>
    <row r="29" spans="1:15" ht="26.1" customHeight="1">
      <c r="A29" s="133"/>
      <c r="B29" s="167" t="s">
        <v>69</v>
      </c>
      <c r="C29" s="6" t="s">
        <v>70</v>
      </c>
      <c r="D29" s="139"/>
      <c r="E29" s="180" t="s">
        <v>262</v>
      </c>
      <c r="F29" s="6" t="s">
        <v>71</v>
      </c>
      <c r="G29" s="139"/>
      <c r="H29" s="132"/>
    </row>
    <row r="30" spans="1:15" ht="26.1" customHeight="1">
      <c r="A30" s="133"/>
      <c r="B30" s="175" t="s">
        <v>72</v>
      </c>
      <c r="C30" s="176" t="s">
        <v>260</v>
      </c>
      <c r="D30" s="178"/>
      <c r="E30" s="137" t="s">
        <v>73</v>
      </c>
      <c r="F30" s="6" t="s">
        <v>74</v>
      </c>
      <c r="G30" s="139"/>
      <c r="H30" s="132"/>
    </row>
    <row r="31" spans="1:15" ht="26.1" customHeight="1">
      <c r="A31" s="133"/>
      <c r="B31" s="177" t="s">
        <v>75</v>
      </c>
      <c r="C31" s="176" t="s">
        <v>260</v>
      </c>
      <c r="D31" s="178"/>
      <c r="E31" s="137" t="s">
        <v>76</v>
      </c>
      <c r="F31" s="6" t="s">
        <v>71</v>
      </c>
      <c r="G31" s="139"/>
      <c r="H31" s="132"/>
    </row>
    <row r="32" spans="1:15" ht="26.1" customHeight="1" thickBot="1">
      <c r="A32" s="133"/>
      <c r="B32" s="168" t="s">
        <v>77</v>
      </c>
      <c r="C32" s="169" t="s">
        <v>67</v>
      </c>
      <c r="D32" s="170"/>
      <c r="E32" s="137" t="s">
        <v>78</v>
      </c>
      <c r="F32" s="6" t="s">
        <v>71</v>
      </c>
      <c r="G32" s="139"/>
      <c r="H32" s="132"/>
    </row>
    <row r="33" spans="1:15" ht="26.1" customHeight="1" thickBot="1">
      <c r="A33" s="133"/>
      <c r="E33" s="137" t="s">
        <v>79</v>
      </c>
      <c r="F33" s="6" t="s">
        <v>71</v>
      </c>
      <c r="G33" s="139"/>
      <c r="H33" s="132"/>
    </row>
    <row r="34" spans="1:15" ht="26.1" customHeight="1">
      <c r="A34" s="133"/>
      <c r="B34" s="309" t="s">
        <v>263</v>
      </c>
      <c r="C34" s="310"/>
      <c r="E34" s="137" t="s">
        <v>265</v>
      </c>
      <c r="F34" s="6" t="s">
        <v>80</v>
      </c>
      <c r="G34" s="139"/>
      <c r="H34" s="132"/>
    </row>
    <row r="35" spans="1:15" ht="26.1" customHeight="1" thickBot="1">
      <c r="A35" s="133"/>
      <c r="B35" s="311" t="s">
        <v>264</v>
      </c>
      <c r="C35" s="312"/>
      <c r="E35" s="137" t="s">
        <v>266</v>
      </c>
      <c r="F35" s="6" t="s">
        <v>80</v>
      </c>
      <c r="G35" s="139"/>
      <c r="H35" s="132"/>
    </row>
    <row r="36" spans="1:15" ht="26.1" customHeight="1">
      <c r="A36" s="133"/>
      <c r="E36" s="137" t="s">
        <v>81</v>
      </c>
      <c r="F36" s="6" t="s">
        <v>82</v>
      </c>
      <c r="G36" s="139"/>
      <c r="H36" s="132"/>
    </row>
    <row r="37" spans="1:15" ht="26.1" customHeight="1" thickBot="1">
      <c r="A37" s="133"/>
      <c r="E37" s="138" t="s">
        <v>83</v>
      </c>
      <c r="F37" s="169" t="s">
        <v>84</v>
      </c>
      <c r="G37" s="170"/>
      <c r="H37" s="132"/>
    </row>
    <row r="38" spans="1:15" ht="30" customHeight="1" thickBot="1">
      <c r="A38" s="135"/>
      <c r="B38" s="136"/>
      <c r="C38" s="136"/>
      <c r="D38" s="136"/>
      <c r="E38" s="136"/>
      <c r="F38" s="136"/>
      <c r="G38" s="136"/>
      <c r="H38" s="51"/>
    </row>
    <row r="39" spans="1:15" ht="26.1" customHeight="1" thickBot="1">
      <c r="A39" s="130" t="s">
        <v>85</v>
      </c>
      <c r="B39" s="131"/>
      <c r="C39" s="131"/>
      <c r="D39" s="131"/>
      <c r="E39" s="131"/>
      <c r="F39" s="131"/>
      <c r="G39" s="131"/>
      <c r="H39" s="50"/>
    </row>
    <row r="40" spans="1:15" ht="26.1" customHeight="1" thickBot="1">
      <c r="A40" s="133"/>
      <c r="B40" s="144" t="s">
        <v>259</v>
      </c>
      <c r="C40" s="125"/>
      <c r="H40" s="132"/>
      <c r="K40" s="43" t="s">
        <v>48</v>
      </c>
      <c r="N40" t="s">
        <v>49</v>
      </c>
      <c r="O40" t="s">
        <v>50</v>
      </c>
    </row>
    <row r="41" spans="1:15" ht="26.1" customHeight="1" thickBot="1">
      <c r="A41" s="133"/>
      <c r="B41" s="43" t="s">
        <v>51</v>
      </c>
      <c r="C41" s="126"/>
      <c r="H41" s="132"/>
      <c r="K41" t="s">
        <v>52</v>
      </c>
      <c r="N41" t="s">
        <v>52</v>
      </c>
    </row>
    <row r="42" spans="1:15" ht="26.1" customHeight="1" thickBot="1">
      <c r="A42" s="133"/>
      <c r="B42" s="43" t="s">
        <v>53</v>
      </c>
      <c r="C42" t="s">
        <v>54</v>
      </c>
      <c r="H42" s="132"/>
      <c r="K42" s="15" t="s">
        <v>55</v>
      </c>
      <c r="L42" s="146">
        <f>IFERROR(VLOOKUP(C41,'データ（触らない）'!$G$2:$P$20,8,FALSE),0)</f>
        <v>0</v>
      </c>
      <c r="M42" s="154"/>
      <c r="N42" s="15" t="s">
        <v>55</v>
      </c>
      <c r="O42" s="146"/>
    </row>
    <row r="43" spans="1:15" ht="26.1" customHeight="1" thickBot="1">
      <c r="A43" s="133"/>
      <c r="B43" s="43"/>
      <c r="C43" s="155" t="s">
        <v>56</v>
      </c>
      <c r="D43" s="155" t="s">
        <v>57</v>
      </c>
      <c r="E43" s="155" t="s">
        <v>58</v>
      </c>
      <c r="H43" s="132"/>
      <c r="K43" s="15" t="s">
        <v>59</v>
      </c>
      <c r="L43" s="146">
        <f>D47*'データ（触らない）'!S$21+【入力様式】パーティールームA!D48*'データ（触らない）'!S$23+【入力様式】パーティールームA!D51*'データ（触らない）'!S$26+【入力様式】パーティールームA!G47*'データ（触らない）'!S$44+【入力様式】パーティールームA!G48*'データ（触らない）'!S$45+【入力様式】パーティールームA!G49*'データ（触らない）'!S$46+【入力様式】パーティールームA!G50*'データ（触らない）'!S$47+【入力様式】パーティールームA!G51*'データ（触らない）'!S$48+【入力様式】パーティールームA!G52*'データ（触らない）'!S$49+【入力様式】パーティールームA!G53*'データ（触らない）'!S$50+【入力様式】パーティールームA!G54*'データ（触らない）'!S$51+【入力様式】パーティールームA!G55*'データ（触らない）'!S$52+【入力様式】パーティールームA!G56*'データ（触らない）'!S$53</f>
        <v>0</v>
      </c>
      <c r="M43" s="154"/>
      <c r="N43" s="15" t="s">
        <v>59</v>
      </c>
      <c r="O43" s="146">
        <f>D47*'データ（触らない）'!S$21+【入力様式】パーティールームA!D48*'データ（触らない）'!S$23+【入力様式】パーティールームA!D51*'データ（触らない）'!S$26+【入力様式】パーティールームA!G47*'データ（触らない）'!S$44+【入力様式】パーティールームA!G48*'データ（触らない）'!S$45+【入力様式】パーティールームA!G49*'データ（触らない）'!S$46+【入力様式】パーティールームA!G50*'データ（触らない）'!S$47+【入力様式】パーティールームA!G51*'データ（触らない）'!S$48+【入力様式】パーティールームA!G52*'データ（触らない）'!S$49+【入力様式】パーティールームA!G53*'データ（触らない）'!S$50+【入力様式】パーティールームA!G54*'データ（触らない）'!S$51+【入力様式】パーティールームA!G55*'データ（触らない）'!S$52+【入力様式】パーティールームA!G56*'データ（触らない）'!S$53</f>
        <v>0</v>
      </c>
    </row>
    <row r="44" spans="1:15" ht="26.1" customHeight="1" thickBot="1">
      <c r="A44" s="133"/>
      <c r="B44" s="43"/>
      <c r="C44" s="156"/>
      <c r="D44" s="156"/>
      <c r="E44" s="156"/>
      <c r="H44" s="132"/>
      <c r="K44" s="6" t="s">
        <v>60</v>
      </c>
      <c r="L44" s="146">
        <f>SUM(L42:L43)</f>
        <v>0</v>
      </c>
      <c r="M44" s="154"/>
      <c r="N44" s="6" t="s">
        <v>60</v>
      </c>
      <c r="O44" s="146">
        <f>SUM(O42:O43)</f>
        <v>0</v>
      </c>
    </row>
    <row r="45" spans="1:15" ht="26.1" customHeight="1" thickBot="1">
      <c r="A45" s="133"/>
      <c r="B45" s="43" t="s">
        <v>61</v>
      </c>
      <c r="C45" t="s">
        <v>62</v>
      </c>
      <c r="G45" s="129"/>
      <c r="H45" s="134"/>
    </row>
    <row r="46" spans="1:15" ht="26.1" customHeight="1" thickBot="1">
      <c r="A46" s="133"/>
      <c r="B46" s="141" t="s">
        <v>63</v>
      </c>
      <c r="C46" s="142" t="s">
        <v>64</v>
      </c>
      <c r="D46" s="143" t="s">
        <v>65</v>
      </c>
      <c r="E46" s="141" t="s">
        <v>63</v>
      </c>
      <c r="F46" s="142" t="s">
        <v>64</v>
      </c>
      <c r="G46" s="143" t="s">
        <v>65</v>
      </c>
      <c r="H46" s="132"/>
    </row>
    <row r="47" spans="1:15" ht="26.1" customHeight="1" thickTop="1">
      <c r="A47" s="133"/>
      <c r="B47" s="167" t="s">
        <v>66</v>
      </c>
      <c r="C47" s="166" t="s">
        <v>67</v>
      </c>
      <c r="D47" s="140"/>
      <c r="E47" s="179" t="s">
        <v>261</v>
      </c>
      <c r="F47" s="9" t="s">
        <v>68</v>
      </c>
      <c r="G47" s="140"/>
      <c r="H47" s="132"/>
    </row>
    <row r="48" spans="1:15" ht="26.1" customHeight="1">
      <c r="A48" s="133"/>
      <c r="B48" s="167" t="s">
        <v>69</v>
      </c>
      <c r="C48" s="6" t="s">
        <v>70</v>
      </c>
      <c r="D48" s="139"/>
      <c r="E48" s="180" t="s">
        <v>262</v>
      </c>
      <c r="F48" s="6" t="s">
        <v>71</v>
      </c>
      <c r="G48" s="139"/>
      <c r="H48" s="132"/>
    </row>
    <row r="49" spans="1:15" ht="26.1" customHeight="1">
      <c r="A49" s="133"/>
      <c r="B49" s="175" t="s">
        <v>72</v>
      </c>
      <c r="C49" s="176" t="s">
        <v>260</v>
      </c>
      <c r="D49" s="178"/>
      <c r="E49" s="137" t="s">
        <v>73</v>
      </c>
      <c r="F49" s="6" t="s">
        <v>74</v>
      </c>
      <c r="G49" s="139"/>
      <c r="H49" s="132"/>
    </row>
    <row r="50" spans="1:15" ht="26.1" customHeight="1">
      <c r="A50" s="133"/>
      <c r="B50" s="177" t="s">
        <v>75</v>
      </c>
      <c r="C50" s="176" t="s">
        <v>260</v>
      </c>
      <c r="D50" s="178"/>
      <c r="E50" s="137" t="s">
        <v>76</v>
      </c>
      <c r="F50" s="6" t="s">
        <v>71</v>
      </c>
      <c r="G50" s="139"/>
      <c r="H50" s="132"/>
    </row>
    <row r="51" spans="1:15" ht="26.1" customHeight="1" thickBot="1">
      <c r="A51" s="133"/>
      <c r="B51" s="168" t="s">
        <v>77</v>
      </c>
      <c r="C51" s="169" t="s">
        <v>67</v>
      </c>
      <c r="D51" s="170"/>
      <c r="E51" s="137" t="s">
        <v>78</v>
      </c>
      <c r="F51" s="6" t="s">
        <v>71</v>
      </c>
      <c r="G51" s="139"/>
      <c r="H51" s="132"/>
    </row>
    <row r="52" spans="1:15" ht="26.1" customHeight="1" thickBot="1">
      <c r="A52" s="133"/>
      <c r="E52" s="137" t="s">
        <v>79</v>
      </c>
      <c r="F52" s="6" t="s">
        <v>71</v>
      </c>
      <c r="G52" s="139"/>
      <c r="H52" s="132"/>
    </row>
    <row r="53" spans="1:15" ht="26.1" customHeight="1">
      <c r="A53" s="133"/>
      <c r="B53" s="309" t="s">
        <v>263</v>
      </c>
      <c r="C53" s="310"/>
      <c r="E53" s="137" t="s">
        <v>265</v>
      </c>
      <c r="F53" s="6" t="s">
        <v>80</v>
      </c>
      <c r="G53" s="139"/>
      <c r="H53" s="132"/>
    </row>
    <row r="54" spans="1:15" ht="26.1" customHeight="1" thickBot="1">
      <c r="A54" s="133"/>
      <c r="B54" s="311" t="s">
        <v>264</v>
      </c>
      <c r="C54" s="312"/>
      <c r="E54" s="137" t="s">
        <v>266</v>
      </c>
      <c r="F54" s="6" t="s">
        <v>80</v>
      </c>
      <c r="G54" s="139"/>
      <c r="H54" s="132"/>
    </row>
    <row r="55" spans="1:15" ht="26.1" customHeight="1">
      <c r="A55" s="133"/>
      <c r="E55" s="137" t="s">
        <v>81</v>
      </c>
      <c r="F55" s="6" t="s">
        <v>82</v>
      </c>
      <c r="G55" s="139"/>
      <c r="H55" s="132"/>
    </row>
    <row r="56" spans="1:15" ht="26.1" customHeight="1" thickBot="1">
      <c r="A56" s="133"/>
      <c r="E56" s="138" t="s">
        <v>83</v>
      </c>
      <c r="F56" s="169" t="s">
        <v>84</v>
      </c>
      <c r="G56" s="170"/>
      <c r="H56" s="132"/>
    </row>
    <row r="57" spans="1:15" ht="30" customHeight="1" thickBot="1">
      <c r="A57" s="135"/>
      <c r="B57" s="136"/>
      <c r="C57" s="136"/>
      <c r="D57" s="136"/>
      <c r="E57" s="136"/>
      <c r="F57" s="136"/>
      <c r="G57" s="136"/>
      <c r="H57" s="51"/>
    </row>
    <row r="58" spans="1:15" ht="26.1" customHeight="1" thickBot="1">
      <c r="A58" s="130" t="s">
        <v>86</v>
      </c>
      <c r="B58" s="131"/>
      <c r="C58" s="131"/>
      <c r="D58" s="131"/>
      <c r="E58" s="131"/>
      <c r="F58" s="131"/>
      <c r="G58" s="131"/>
      <c r="H58" s="50"/>
    </row>
    <row r="59" spans="1:15" ht="26.1" customHeight="1" thickBot="1">
      <c r="A59" s="133"/>
      <c r="B59" s="144" t="s">
        <v>259</v>
      </c>
      <c r="C59" s="125"/>
      <c r="H59" s="132"/>
      <c r="K59" s="43" t="s">
        <v>48</v>
      </c>
      <c r="N59" t="s">
        <v>49</v>
      </c>
      <c r="O59" t="s">
        <v>50</v>
      </c>
    </row>
    <row r="60" spans="1:15" ht="26.1" customHeight="1" thickBot="1">
      <c r="A60" s="133"/>
      <c r="B60" s="43" t="s">
        <v>51</v>
      </c>
      <c r="C60" s="126"/>
      <c r="H60" s="132"/>
      <c r="K60" t="s">
        <v>52</v>
      </c>
      <c r="N60" t="s">
        <v>52</v>
      </c>
    </row>
    <row r="61" spans="1:15" ht="26.1" customHeight="1" thickBot="1">
      <c r="A61" s="133"/>
      <c r="B61" s="43" t="s">
        <v>53</v>
      </c>
      <c r="C61" t="s">
        <v>54</v>
      </c>
      <c r="H61" s="132"/>
      <c r="K61" s="15" t="s">
        <v>55</v>
      </c>
      <c r="L61" s="146">
        <f>IFERROR(VLOOKUP(C60,'データ（触らない）'!$G$2:$P$20,8,FALSE),0)</f>
        <v>0</v>
      </c>
      <c r="M61" s="154"/>
      <c r="N61" s="15" t="s">
        <v>55</v>
      </c>
      <c r="O61" s="146"/>
    </row>
    <row r="62" spans="1:15" ht="26.1" customHeight="1" thickBot="1">
      <c r="A62" s="133"/>
      <c r="B62" s="43"/>
      <c r="C62" s="155" t="s">
        <v>56</v>
      </c>
      <c r="D62" s="155" t="s">
        <v>57</v>
      </c>
      <c r="E62" s="155" t="s">
        <v>58</v>
      </c>
      <c r="H62" s="132"/>
      <c r="K62" s="15" t="s">
        <v>59</v>
      </c>
      <c r="L62" s="146">
        <f>D66*'データ（触らない）'!S$21+【入力様式】パーティールームA!D67*'データ（触らない）'!S$23+【入力様式】パーティールームA!D70*'データ（触らない）'!S$26+【入力様式】パーティールームA!G66*'データ（触らない）'!S$44+【入力様式】パーティールームA!G67*'データ（触らない）'!S$45+【入力様式】パーティールームA!G68*'データ（触らない）'!S$46+【入力様式】パーティールームA!G69*'データ（触らない）'!S$47+【入力様式】パーティールームA!G70*'データ（触らない）'!S$48+【入力様式】パーティールームA!G71*'データ（触らない）'!S$49+【入力様式】パーティールームA!G72*'データ（触らない）'!S$50+【入力様式】パーティールームA!G73*'データ（触らない）'!S$51+【入力様式】パーティールームA!G74*'データ（触らない）'!S$52+【入力様式】パーティールームA!G75*'データ（触らない）'!S$53</f>
        <v>0</v>
      </c>
      <c r="M62" s="154"/>
      <c r="N62" s="15" t="s">
        <v>59</v>
      </c>
      <c r="O62" s="146">
        <f>D66*'データ（触らない）'!S$21+【入力様式】パーティールームA!D67*'データ（触らない）'!S$23+【入力様式】パーティールームA!D70*'データ（触らない）'!S$26+【入力様式】パーティールームA!G66*'データ（触らない）'!S$44+【入力様式】パーティールームA!G67*'データ（触らない）'!S$45+【入力様式】パーティールームA!G68*'データ（触らない）'!S$46+【入力様式】パーティールームA!G69*'データ（触らない）'!S$47+【入力様式】パーティールームA!G70*'データ（触らない）'!S$48+【入力様式】パーティールームA!G71*'データ（触らない）'!S$49+【入力様式】パーティールームA!G72*'データ（触らない）'!S$50+【入力様式】パーティールームA!G73*'データ（触らない）'!S$51+【入力様式】パーティールームA!G74*'データ（触らない）'!S$52+【入力様式】パーティールームA!G75*'データ（触らない）'!S$53</f>
        <v>0</v>
      </c>
    </row>
    <row r="63" spans="1:15" ht="26.1" customHeight="1" thickBot="1">
      <c r="A63" s="133"/>
      <c r="B63" s="43"/>
      <c r="C63" s="156"/>
      <c r="D63" s="156"/>
      <c r="E63" s="156"/>
      <c r="H63" s="132"/>
      <c r="K63" s="6" t="s">
        <v>60</v>
      </c>
      <c r="L63" s="146">
        <f>SUM(L61:L62)</f>
        <v>0</v>
      </c>
      <c r="M63" s="154"/>
      <c r="N63" s="6" t="s">
        <v>60</v>
      </c>
      <c r="O63" s="146">
        <f>SUM(O61:O62)</f>
        <v>0</v>
      </c>
    </row>
    <row r="64" spans="1:15" ht="26.1" customHeight="1" thickBot="1">
      <c r="A64" s="133"/>
      <c r="B64" s="43" t="s">
        <v>61</v>
      </c>
      <c r="C64" t="s">
        <v>62</v>
      </c>
      <c r="G64" s="129"/>
      <c r="H64" s="134"/>
    </row>
    <row r="65" spans="1:15" ht="26.1" customHeight="1" thickBot="1">
      <c r="A65" s="133"/>
      <c r="B65" s="141" t="s">
        <v>63</v>
      </c>
      <c r="C65" s="142" t="s">
        <v>64</v>
      </c>
      <c r="D65" s="143" t="s">
        <v>65</v>
      </c>
      <c r="E65" s="141" t="s">
        <v>63</v>
      </c>
      <c r="F65" s="142" t="s">
        <v>64</v>
      </c>
      <c r="G65" s="143" t="s">
        <v>65</v>
      </c>
      <c r="H65" s="132"/>
    </row>
    <row r="66" spans="1:15" ht="26.1" customHeight="1" thickTop="1">
      <c r="A66" s="133"/>
      <c r="B66" s="167" t="s">
        <v>66</v>
      </c>
      <c r="C66" s="166" t="s">
        <v>67</v>
      </c>
      <c r="D66" s="140"/>
      <c r="E66" s="179" t="s">
        <v>261</v>
      </c>
      <c r="F66" s="9" t="s">
        <v>68</v>
      </c>
      <c r="G66" s="140"/>
      <c r="H66" s="132"/>
    </row>
    <row r="67" spans="1:15" ht="26.1" customHeight="1">
      <c r="A67" s="133"/>
      <c r="B67" s="167" t="s">
        <v>69</v>
      </c>
      <c r="C67" s="6" t="s">
        <v>70</v>
      </c>
      <c r="D67" s="139"/>
      <c r="E67" s="180" t="s">
        <v>262</v>
      </c>
      <c r="F67" s="6" t="s">
        <v>71</v>
      </c>
      <c r="G67" s="139"/>
      <c r="H67" s="132"/>
    </row>
    <row r="68" spans="1:15" ht="26.1" customHeight="1">
      <c r="A68" s="133"/>
      <c r="B68" s="175" t="s">
        <v>72</v>
      </c>
      <c r="C68" s="176" t="s">
        <v>260</v>
      </c>
      <c r="D68" s="178"/>
      <c r="E68" s="137" t="s">
        <v>73</v>
      </c>
      <c r="F68" s="6" t="s">
        <v>74</v>
      </c>
      <c r="G68" s="139"/>
      <c r="H68" s="132"/>
    </row>
    <row r="69" spans="1:15" ht="26.1" customHeight="1">
      <c r="A69" s="133"/>
      <c r="B69" s="177" t="s">
        <v>75</v>
      </c>
      <c r="C69" s="176" t="s">
        <v>260</v>
      </c>
      <c r="D69" s="178"/>
      <c r="E69" s="137" t="s">
        <v>76</v>
      </c>
      <c r="F69" s="6" t="s">
        <v>71</v>
      </c>
      <c r="G69" s="139"/>
      <c r="H69" s="132"/>
    </row>
    <row r="70" spans="1:15" ht="26.1" customHeight="1" thickBot="1">
      <c r="A70" s="133"/>
      <c r="B70" s="168" t="s">
        <v>77</v>
      </c>
      <c r="C70" s="169" t="s">
        <v>67</v>
      </c>
      <c r="D70" s="170"/>
      <c r="E70" s="137" t="s">
        <v>78</v>
      </c>
      <c r="F70" s="6" t="s">
        <v>71</v>
      </c>
      <c r="G70" s="139"/>
      <c r="H70" s="132"/>
    </row>
    <row r="71" spans="1:15" ht="26.1" customHeight="1" thickBot="1">
      <c r="A71" s="133"/>
      <c r="E71" s="137" t="s">
        <v>79</v>
      </c>
      <c r="F71" s="6" t="s">
        <v>71</v>
      </c>
      <c r="G71" s="139"/>
      <c r="H71" s="132"/>
    </row>
    <row r="72" spans="1:15" ht="26.1" customHeight="1">
      <c r="A72" s="133"/>
      <c r="B72" s="309" t="s">
        <v>263</v>
      </c>
      <c r="C72" s="310"/>
      <c r="E72" s="137" t="s">
        <v>265</v>
      </c>
      <c r="F72" s="6" t="s">
        <v>80</v>
      </c>
      <c r="G72" s="139"/>
      <c r="H72" s="132"/>
    </row>
    <row r="73" spans="1:15" ht="26.1" customHeight="1" thickBot="1">
      <c r="A73" s="133"/>
      <c r="B73" s="311" t="s">
        <v>264</v>
      </c>
      <c r="C73" s="312"/>
      <c r="E73" s="137" t="s">
        <v>266</v>
      </c>
      <c r="F73" s="6" t="s">
        <v>80</v>
      </c>
      <c r="G73" s="139"/>
      <c r="H73" s="132"/>
    </row>
    <row r="74" spans="1:15" ht="26.1" customHeight="1">
      <c r="A74" s="133"/>
      <c r="E74" s="137" t="s">
        <v>81</v>
      </c>
      <c r="F74" s="6" t="s">
        <v>82</v>
      </c>
      <c r="G74" s="139"/>
      <c r="H74" s="132"/>
    </row>
    <row r="75" spans="1:15" ht="26.1" customHeight="1" thickBot="1">
      <c r="A75" s="133"/>
      <c r="E75" s="138" t="s">
        <v>83</v>
      </c>
      <c r="F75" s="169" t="s">
        <v>84</v>
      </c>
      <c r="G75" s="170"/>
      <c r="H75" s="132"/>
    </row>
    <row r="76" spans="1:15" ht="30" customHeight="1" thickBot="1">
      <c r="A76" s="135"/>
      <c r="B76" s="136"/>
      <c r="C76" s="136"/>
      <c r="D76" s="136"/>
      <c r="E76" s="136"/>
      <c r="F76" s="136"/>
      <c r="G76" s="136"/>
      <c r="H76" s="51"/>
    </row>
    <row r="77" spans="1:15" ht="26.1" customHeight="1" thickBot="1">
      <c r="A77" s="130" t="s">
        <v>87</v>
      </c>
      <c r="B77" s="131"/>
      <c r="C77" s="131"/>
      <c r="D77" s="131"/>
      <c r="E77" s="131"/>
      <c r="F77" s="131"/>
      <c r="G77" s="131"/>
      <c r="H77" s="50"/>
    </row>
    <row r="78" spans="1:15" ht="26.1" customHeight="1" thickBot="1">
      <c r="A78" s="133"/>
      <c r="B78" s="144" t="s">
        <v>259</v>
      </c>
      <c r="C78" s="125"/>
      <c r="H78" s="132"/>
      <c r="K78" s="43" t="s">
        <v>48</v>
      </c>
      <c r="N78" t="s">
        <v>49</v>
      </c>
      <c r="O78" t="s">
        <v>50</v>
      </c>
    </row>
    <row r="79" spans="1:15" ht="26.1" customHeight="1" thickBot="1">
      <c r="A79" s="133"/>
      <c r="B79" s="43" t="s">
        <v>51</v>
      </c>
      <c r="C79" s="126"/>
      <c r="H79" s="132"/>
      <c r="K79" t="s">
        <v>52</v>
      </c>
      <c r="N79" t="s">
        <v>52</v>
      </c>
    </row>
    <row r="80" spans="1:15" ht="26.1" customHeight="1" thickBot="1">
      <c r="A80" s="133"/>
      <c r="B80" s="43" t="s">
        <v>53</v>
      </c>
      <c r="C80" t="s">
        <v>54</v>
      </c>
      <c r="H80" s="132"/>
      <c r="K80" s="15" t="s">
        <v>55</v>
      </c>
      <c r="L80" s="146">
        <f>IFERROR(VLOOKUP(C79,'データ（触らない）'!$G$2:$P$20,8,FALSE),0)</f>
        <v>0</v>
      </c>
      <c r="M80" s="154"/>
      <c r="N80" s="15" t="s">
        <v>55</v>
      </c>
      <c r="O80" s="146"/>
    </row>
    <row r="81" spans="1:15" ht="26.1" customHeight="1" thickBot="1">
      <c r="A81" s="133"/>
      <c r="B81" s="43"/>
      <c r="C81" s="155" t="s">
        <v>56</v>
      </c>
      <c r="D81" s="155" t="s">
        <v>57</v>
      </c>
      <c r="E81" s="155" t="s">
        <v>58</v>
      </c>
      <c r="H81" s="132"/>
      <c r="K81" s="15" t="s">
        <v>59</v>
      </c>
      <c r="L81" s="146">
        <f>D85*'データ（触らない）'!S$21+【入力様式】パーティールームA!D86*'データ（触らない）'!S$23+【入力様式】パーティールームA!D89*'データ（触らない）'!S$26+【入力様式】パーティールームA!G85*'データ（触らない）'!S$44+【入力様式】パーティールームA!G86*'データ（触らない）'!S$45+【入力様式】パーティールームA!G87*'データ（触らない）'!S$46+【入力様式】パーティールームA!G88*'データ（触らない）'!S$47+【入力様式】パーティールームA!G89*'データ（触らない）'!S$48+【入力様式】パーティールームA!G90*'データ（触らない）'!S$49+【入力様式】パーティールームA!G91*'データ（触らない）'!S$50+【入力様式】パーティールームA!G92*'データ（触らない）'!S$51+【入力様式】パーティールームA!G93*'データ（触らない）'!S$52+【入力様式】パーティールームA!G94*'データ（触らない）'!S$53</f>
        <v>0</v>
      </c>
      <c r="M81" s="154"/>
      <c r="N81" s="15" t="s">
        <v>59</v>
      </c>
      <c r="O81" s="146">
        <f>D85*'データ（触らない）'!S$21+【入力様式】パーティールームA!D86*'データ（触らない）'!S$23+【入力様式】パーティールームA!D89*'データ（触らない）'!S$26+【入力様式】パーティールームA!G85*'データ（触らない）'!S$44+【入力様式】パーティールームA!G86*'データ（触らない）'!S$45+【入力様式】パーティールームA!G87*'データ（触らない）'!S$46+【入力様式】パーティールームA!G88*'データ（触らない）'!S$47+【入力様式】パーティールームA!G89*'データ（触らない）'!S$48+【入力様式】パーティールームA!G90*'データ（触らない）'!S$49+【入力様式】パーティールームA!G91*'データ（触らない）'!S$50+【入力様式】パーティールームA!G92*'データ（触らない）'!S$51+【入力様式】パーティールームA!G93*'データ（触らない）'!S$52+【入力様式】パーティールームA!G94*'データ（触らない）'!S$53</f>
        <v>0</v>
      </c>
    </row>
    <row r="82" spans="1:15" ht="26.1" customHeight="1" thickBot="1">
      <c r="A82" s="133"/>
      <c r="B82" s="43"/>
      <c r="C82" s="156"/>
      <c r="D82" s="156"/>
      <c r="E82" s="156"/>
      <c r="H82" s="132"/>
      <c r="K82" s="6" t="s">
        <v>60</v>
      </c>
      <c r="L82" s="146">
        <f>SUM(L80:L81)</f>
        <v>0</v>
      </c>
      <c r="M82" s="154"/>
      <c r="N82" s="6" t="s">
        <v>60</v>
      </c>
      <c r="O82" s="146">
        <f>SUM(O80:O81)</f>
        <v>0</v>
      </c>
    </row>
    <row r="83" spans="1:15" ht="26.1" customHeight="1" thickBot="1">
      <c r="A83" s="133"/>
      <c r="B83" s="43" t="s">
        <v>61</v>
      </c>
      <c r="C83" t="s">
        <v>62</v>
      </c>
      <c r="G83" s="129"/>
      <c r="H83" s="134"/>
    </row>
    <row r="84" spans="1:15" ht="26.1" customHeight="1" thickBot="1">
      <c r="A84" s="133"/>
      <c r="B84" s="141" t="s">
        <v>63</v>
      </c>
      <c r="C84" s="142" t="s">
        <v>64</v>
      </c>
      <c r="D84" s="143" t="s">
        <v>65</v>
      </c>
      <c r="E84" s="141" t="s">
        <v>63</v>
      </c>
      <c r="F84" s="142" t="s">
        <v>64</v>
      </c>
      <c r="G84" s="143" t="s">
        <v>65</v>
      </c>
      <c r="H84" s="132"/>
    </row>
    <row r="85" spans="1:15" ht="26.1" customHeight="1" thickTop="1">
      <c r="A85" s="133"/>
      <c r="B85" s="167" t="s">
        <v>66</v>
      </c>
      <c r="C85" s="166" t="s">
        <v>67</v>
      </c>
      <c r="D85" s="140"/>
      <c r="E85" s="179" t="s">
        <v>261</v>
      </c>
      <c r="F85" s="9" t="s">
        <v>68</v>
      </c>
      <c r="G85" s="140"/>
      <c r="H85" s="132"/>
    </row>
    <row r="86" spans="1:15" ht="26.1" customHeight="1">
      <c r="A86" s="133"/>
      <c r="B86" s="167" t="s">
        <v>69</v>
      </c>
      <c r="C86" s="6" t="s">
        <v>70</v>
      </c>
      <c r="D86" s="139"/>
      <c r="E86" s="180" t="s">
        <v>262</v>
      </c>
      <c r="F86" s="6" t="s">
        <v>71</v>
      </c>
      <c r="G86" s="139"/>
      <c r="H86" s="132"/>
    </row>
    <row r="87" spans="1:15" ht="26.1" customHeight="1">
      <c r="A87" s="133"/>
      <c r="B87" s="175" t="s">
        <v>72</v>
      </c>
      <c r="C87" s="176" t="s">
        <v>260</v>
      </c>
      <c r="D87" s="178"/>
      <c r="E87" s="137" t="s">
        <v>73</v>
      </c>
      <c r="F87" s="6" t="s">
        <v>74</v>
      </c>
      <c r="G87" s="139"/>
      <c r="H87" s="132"/>
    </row>
    <row r="88" spans="1:15" ht="26.1" customHeight="1">
      <c r="A88" s="133"/>
      <c r="B88" s="177" t="s">
        <v>75</v>
      </c>
      <c r="C88" s="176" t="s">
        <v>260</v>
      </c>
      <c r="D88" s="178"/>
      <c r="E88" s="137" t="s">
        <v>76</v>
      </c>
      <c r="F88" s="6" t="s">
        <v>71</v>
      </c>
      <c r="G88" s="139"/>
      <c r="H88" s="132"/>
    </row>
    <row r="89" spans="1:15" ht="26.1" customHeight="1" thickBot="1">
      <c r="A89" s="133"/>
      <c r="B89" s="168" t="s">
        <v>77</v>
      </c>
      <c r="C89" s="169" t="s">
        <v>67</v>
      </c>
      <c r="D89" s="170"/>
      <c r="E89" s="137" t="s">
        <v>78</v>
      </c>
      <c r="F89" s="6" t="s">
        <v>71</v>
      </c>
      <c r="G89" s="139"/>
      <c r="H89" s="132"/>
    </row>
    <row r="90" spans="1:15" ht="26.1" customHeight="1" thickBot="1">
      <c r="A90" s="133"/>
      <c r="E90" s="137" t="s">
        <v>79</v>
      </c>
      <c r="F90" s="6" t="s">
        <v>71</v>
      </c>
      <c r="G90" s="139"/>
      <c r="H90" s="132"/>
    </row>
    <row r="91" spans="1:15" ht="26.1" customHeight="1">
      <c r="A91" s="133"/>
      <c r="B91" s="309" t="s">
        <v>263</v>
      </c>
      <c r="C91" s="310"/>
      <c r="E91" s="137" t="s">
        <v>265</v>
      </c>
      <c r="F91" s="6" t="s">
        <v>80</v>
      </c>
      <c r="G91" s="139"/>
      <c r="H91" s="132"/>
    </row>
    <row r="92" spans="1:15" ht="26.1" customHeight="1" thickBot="1">
      <c r="A92" s="133"/>
      <c r="B92" s="311" t="s">
        <v>264</v>
      </c>
      <c r="C92" s="312"/>
      <c r="E92" s="137" t="s">
        <v>266</v>
      </c>
      <c r="F92" s="6" t="s">
        <v>80</v>
      </c>
      <c r="G92" s="139"/>
      <c r="H92" s="132"/>
    </row>
    <row r="93" spans="1:15" ht="26.1" customHeight="1">
      <c r="A93" s="133"/>
      <c r="E93" s="137" t="s">
        <v>81</v>
      </c>
      <c r="F93" s="6" t="s">
        <v>82</v>
      </c>
      <c r="G93" s="139"/>
      <c r="H93" s="132"/>
    </row>
    <row r="94" spans="1:15" ht="26.1" customHeight="1" thickBot="1">
      <c r="A94" s="133"/>
      <c r="E94" s="138" t="s">
        <v>83</v>
      </c>
      <c r="F94" s="169" t="s">
        <v>84</v>
      </c>
      <c r="G94" s="170"/>
      <c r="H94" s="132"/>
    </row>
    <row r="95" spans="1:15" ht="30" customHeight="1" thickBot="1">
      <c r="A95" s="135"/>
      <c r="B95" s="136"/>
      <c r="C95" s="136"/>
      <c r="D95" s="136"/>
      <c r="E95" s="136"/>
      <c r="F95" s="136"/>
      <c r="G95" s="136"/>
      <c r="H95" s="51"/>
    </row>
    <row r="96" spans="1:15" ht="26.1" customHeight="1" thickBot="1">
      <c r="A96" s="130" t="s">
        <v>88</v>
      </c>
      <c r="B96" s="131"/>
      <c r="C96" s="131"/>
      <c r="D96" s="131"/>
      <c r="E96" s="131"/>
      <c r="F96" s="131"/>
      <c r="G96" s="131"/>
      <c r="H96" s="50"/>
    </row>
    <row r="97" spans="1:15" ht="26.1" customHeight="1" thickBot="1">
      <c r="A97" s="133"/>
      <c r="B97" s="144" t="s">
        <v>259</v>
      </c>
      <c r="C97" s="125"/>
      <c r="H97" s="132"/>
      <c r="K97" s="43" t="s">
        <v>48</v>
      </c>
      <c r="N97" t="s">
        <v>49</v>
      </c>
      <c r="O97" t="s">
        <v>50</v>
      </c>
    </row>
    <row r="98" spans="1:15" ht="26.1" customHeight="1" thickBot="1">
      <c r="A98" s="133"/>
      <c r="B98" s="43" t="s">
        <v>51</v>
      </c>
      <c r="C98" s="126"/>
      <c r="H98" s="132"/>
      <c r="K98" t="s">
        <v>52</v>
      </c>
      <c r="N98" t="s">
        <v>52</v>
      </c>
    </row>
    <row r="99" spans="1:15" ht="26.1" customHeight="1" thickBot="1">
      <c r="A99" s="133"/>
      <c r="B99" s="43" t="s">
        <v>53</v>
      </c>
      <c r="C99" t="s">
        <v>54</v>
      </c>
      <c r="H99" s="132"/>
      <c r="K99" s="15" t="s">
        <v>55</v>
      </c>
      <c r="L99" s="146">
        <f>IFERROR(VLOOKUP(C98,'データ（触らない）'!$G$2:$P$20,8,FALSE),0)</f>
        <v>0</v>
      </c>
      <c r="M99" s="154"/>
      <c r="N99" s="15" t="s">
        <v>55</v>
      </c>
      <c r="O99" s="146"/>
    </row>
    <row r="100" spans="1:15" ht="26.1" customHeight="1" thickBot="1">
      <c r="A100" s="133"/>
      <c r="B100" s="43"/>
      <c r="C100" s="155" t="s">
        <v>56</v>
      </c>
      <c r="D100" s="155" t="s">
        <v>57</v>
      </c>
      <c r="E100" s="155" t="s">
        <v>58</v>
      </c>
      <c r="H100" s="132"/>
      <c r="K100" s="15" t="s">
        <v>59</v>
      </c>
      <c r="L100" s="146">
        <f>D104*'データ（触らない）'!S$21+【入力様式】パーティールームA!D105*'データ（触らない）'!S$23+【入力様式】パーティールームA!D108*'データ（触らない）'!S$26+【入力様式】パーティールームA!G104*'データ（触らない）'!S$44+【入力様式】パーティールームA!G105*'データ（触らない）'!S$45+【入力様式】パーティールームA!G106*'データ（触らない）'!S$46+【入力様式】パーティールームA!G107*'データ（触らない）'!S$47+【入力様式】パーティールームA!G108*'データ（触らない）'!S$48+【入力様式】パーティールームA!G109*'データ（触らない）'!S$49+【入力様式】パーティールームA!G110*'データ（触らない）'!S$50+【入力様式】パーティールームA!G111*'データ（触らない）'!S$51+【入力様式】パーティールームA!G112*'データ（触らない）'!S$52+【入力様式】パーティールームA!G113*'データ（触らない）'!S$53</f>
        <v>0</v>
      </c>
      <c r="M100" s="154"/>
      <c r="N100" s="15" t="s">
        <v>59</v>
      </c>
      <c r="O100" s="146">
        <f>D104*'データ（触らない）'!S$21+【入力様式】パーティールームA!D105*'データ（触らない）'!S$23+【入力様式】パーティールームA!D108*'データ（触らない）'!S$26+【入力様式】パーティールームA!G104*'データ（触らない）'!S$44+【入力様式】パーティールームA!G105*'データ（触らない）'!S$45+【入力様式】パーティールームA!G106*'データ（触らない）'!S$46+【入力様式】パーティールームA!G107*'データ（触らない）'!S$47+【入力様式】パーティールームA!G108*'データ（触らない）'!S$48+【入力様式】パーティールームA!G109*'データ（触らない）'!S$49+【入力様式】パーティールームA!G110*'データ（触らない）'!S$50+【入力様式】パーティールームA!G111*'データ（触らない）'!S$51+【入力様式】パーティールームA!G112*'データ（触らない）'!S$52+【入力様式】パーティールームA!G113*'データ（触らない）'!S$53</f>
        <v>0</v>
      </c>
    </row>
    <row r="101" spans="1:15" ht="26.1" customHeight="1" thickBot="1">
      <c r="A101" s="133"/>
      <c r="B101" s="43"/>
      <c r="C101" s="156"/>
      <c r="D101" s="156"/>
      <c r="E101" s="156"/>
      <c r="H101" s="132"/>
      <c r="K101" s="6" t="s">
        <v>60</v>
      </c>
      <c r="L101" s="146">
        <f>SUM(L99:L100)</f>
        <v>0</v>
      </c>
      <c r="M101" s="154"/>
      <c r="N101" s="6" t="s">
        <v>60</v>
      </c>
      <c r="O101" s="146">
        <f>SUM(O99:O100)</f>
        <v>0</v>
      </c>
    </row>
    <row r="102" spans="1:15" ht="26.1" customHeight="1" thickBot="1">
      <c r="A102" s="133"/>
      <c r="B102" s="43" t="s">
        <v>61</v>
      </c>
      <c r="C102" t="s">
        <v>62</v>
      </c>
      <c r="G102" s="129"/>
      <c r="H102" s="134"/>
    </row>
    <row r="103" spans="1:15" ht="26.1" customHeight="1" thickBot="1">
      <c r="A103" s="133"/>
      <c r="B103" s="141" t="s">
        <v>63</v>
      </c>
      <c r="C103" s="142" t="s">
        <v>64</v>
      </c>
      <c r="D103" s="143" t="s">
        <v>65</v>
      </c>
      <c r="E103" s="141" t="s">
        <v>63</v>
      </c>
      <c r="F103" s="142" t="s">
        <v>64</v>
      </c>
      <c r="G103" s="143" t="s">
        <v>65</v>
      </c>
      <c r="H103" s="132"/>
    </row>
    <row r="104" spans="1:15" ht="26.1" customHeight="1" thickTop="1">
      <c r="A104" s="133"/>
      <c r="B104" s="167" t="s">
        <v>66</v>
      </c>
      <c r="C104" s="166" t="s">
        <v>67</v>
      </c>
      <c r="D104" s="140"/>
      <c r="E104" s="179" t="s">
        <v>261</v>
      </c>
      <c r="F104" s="9" t="s">
        <v>68</v>
      </c>
      <c r="G104" s="140"/>
      <c r="H104" s="132"/>
    </row>
    <row r="105" spans="1:15" ht="26.1" customHeight="1">
      <c r="A105" s="133"/>
      <c r="B105" s="167" t="s">
        <v>69</v>
      </c>
      <c r="C105" s="6" t="s">
        <v>70</v>
      </c>
      <c r="D105" s="139"/>
      <c r="E105" s="180" t="s">
        <v>262</v>
      </c>
      <c r="F105" s="6" t="s">
        <v>71</v>
      </c>
      <c r="G105" s="139"/>
      <c r="H105" s="132"/>
    </row>
    <row r="106" spans="1:15" ht="26.1" customHeight="1">
      <c r="A106" s="133"/>
      <c r="B106" s="175" t="s">
        <v>72</v>
      </c>
      <c r="C106" s="176" t="s">
        <v>260</v>
      </c>
      <c r="D106" s="178"/>
      <c r="E106" s="137" t="s">
        <v>73</v>
      </c>
      <c r="F106" s="6" t="s">
        <v>74</v>
      </c>
      <c r="G106" s="139"/>
      <c r="H106" s="132"/>
    </row>
    <row r="107" spans="1:15" ht="26.1" customHeight="1">
      <c r="A107" s="133"/>
      <c r="B107" s="177" t="s">
        <v>75</v>
      </c>
      <c r="C107" s="176" t="s">
        <v>260</v>
      </c>
      <c r="D107" s="178"/>
      <c r="E107" s="137" t="s">
        <v>76</v>
      </c>
      <c r="F107" s="6" t="s">
        <v>71</v>
      </c>
      <c r="G107" s="139"/>
      <c r="H107" s="132"/>
    </row>
    <row r="108" spans="1:15" ht="26.1" customHeight="1" thickBot="1">
      <c r="A108" s="133"/>
      <c r="B108" s="168" t="s">
        <v>77</v>
      </c>
      <c r="C108" s="169" t="s">
        <v>67</v>
      </c>
      <c r="D108" s="170"/>
      <c r="E108" s="137" t="s">
        <v>78</v>
      </c>
      <c r="F108" s="6" t="s">
        <v>71</v>
      </c>
      <c r="G108" s="139"/>
      <c r="H108" s="132"/>
    </row>
    <row r="109" spans="1:15" ht="26.1" customHeight="1" thickBot="1">
      <c r="A109" s="133"/>
      <c r="E109" s="137" t="s">
        <v>79</v>
      </c>
      <c r="F109" s="6" t="s">
        <v>71</v>
      </c>
      <c r="G109" s="139"/>
      <c r="H109" s="132"/>
    </row>
    <row r="110" spans="1:15" ht="26.1" customHeight="1">
      <c r="A110" s="133"/>
      <c r="B110" s="309" t="s">
        <v>263</v>
      </c>
      <c r="C110" s="310"/>
      <c r="E110" s="137" t="s">
        <v>265</v>
      </c>
      <c r="F110" s="6" t="s">
        <v>80</v>
      </c>
      <c r="G110" s="139"/>
      <c r="H110" s="132"/>
    </row>
    <row r="111" spans="1:15" ht="26.1" customHeight="1" thickBot="1">
      <c r="A111" s="133"/>
      <c r="B111" s="311" t="s">
        <v>264</v>
      </c>
      <c r="C111" s="312"/>
      <c r="E111" s="137" t="s">
        <v>266</v>
      </c>
      <c r="F111" s="6" t="s">
        <v>80</v>
      </c>
      <c r="G111" s="139"/>
      <c r="H111" s="132"/>
    </row>
    <row r="112" spans="1:15" ht="26.1" customHeight="1">
      <c r="A112" s="133"/>
      <c r="E112" s="137" t="s">
        <v>81</v>
      </c>
      <c r="F112" s="6" t="s">
        <v>82</v>
      </c>
      <c r="G112" s="139"/>
      <c r="H112" s="132"/>
    </row>
    <row r="113" spans="1:8" ht="26.1" customHeight="1" thickBot="1">
      <c r="A113" s="133"/>
      <c r="E113" s="138" t="s">
        <v>83</v>
      </c>
      <c r="F113" s="169" t="s">
        <v>84</v>
      </c>
      <c r="G113" s="170"/>
      <c r="H113" s="132"/>
    </row>
    <row r="114" spans="1:8" ht="30" customHeight="1" thickBot="1">
      <c r="A114" s="135"/>
      <c r="B114" s="136"/>
      <c r="C114" s="136"/>
      <c r="D114" s="136"/>
      <c r="E114" s="136"/>
      <c r="F114" s="136"/>
      <c r="G114" s="136"/>
      <c r="H114" s="51"/>
    </row>
    <row r="115" spans="1:8" ht="26.1" customHeight="1"/>
    <row r="116" spans="1:8" ht="26.1" customHeight="1"/>
    <row r="117" spans="1:8" ht="26.1" customHeight="1"/>
    <row r="118" spans="1:8" ht="26.1" customHeight="1"/>
    <row r="119" spans="1:8" ht="26.1" customHeight="1"/>
    <row r="120" spans="1:8" ht="26.1" customHeight="1"/>
    <row r="121" spans="1:8" ht="26.1" customHeight="1"/>
    <row r="122" spans="1:8" ht="26.1" customHeight="1"/>
    <row r="123" spans="1:8" ht="26.1" customHeight="1"/>
    <row r="124" spans="1:8" ht="26.1" customHeight="1"/>
    <row r="125" spans="1:8" ht="26.1" customHeight="1"/>
    <row r="126" spans="1:8" ht="26.1" customHeight="1"/>
    <row r="127" spans="1:8" ht="26.1" customHeight="1"/>
    <row r="128" spans="1:8" ht="26.1" customHeight="1"/>
    <row r="129" ht="26.1" customHeight="1"/>
    <row r="130" ht="26.1" customHeight="1"/>
    <row r="131" ht="26.1" customHeight="1"/>
    <row r="132" ht="26.1" customHeight="1"/>
    <row r="133" ht="26.1" customHeight="1"/>
  </sheetData>
  <sheetProtection selectLockedCells="1"/>
  <mergeCells count="23">
    <mergeCell ref="B73:C73"/>
    <mergeCell ref="B91:C91"/>
    <mergeCell ref="B92:C92"/>
    <mergeCell ref="B110:C110"/>
    <mergeCell ref="B111:C111"/>
    <mergeCell ref="B34:C34"/>
    <mergeCell ref="B35:C35"/>
    <mergeCell ref="B53:C53"/>
    <mergeCell ref="B54:C54"/>
    <mergeCell ref="B72:C72"/>
    <mergeCell ref="B12:B13"/>
    <mergeCell ref="C16:F16"/>
    <mergeCell ref="C15:F15"/>
    <mergeCell ref="C17:F17"/>
    <mergeCell ref="C2:F2"/>
    <mergeCell ref="C4:F4"/>
    <mergeCell ref="C11:F11"/>
    <mergeCell ref="C3:F3"/>
    <mergeCell ref="C5:F5"/>
    <mergeCell ref="C7:F7"/>
    <mergeCell ref="C8:F8"/>
    <mergeCell ref="C10:F10"/>
    <mergeCell ref="C6:F6"/>
  </mergeCells>
  <phoneticPr fontId="2"/>
  <conditionalFormatting sqref="C21">
    <cfRule type="expression" dxfId="62" priority="6">
      <formula>$C$21=DATE(1900,1,0)</formula>
    </cfRule>
  </conditionalFormatting>
  <dataValidations count="1">
    <dataValidation type="whole" operator="greaterThan" allowBlank="1" showInputMessage="1" showErrorMessage="1" sqref="D28:D32 G28:G37 D47:D51 G47:G56 D66:D70 G66:G75 D85:D89 G85:G94 D104:D108 G104:G113" xr:uid="{766B0EB1-2C7A-46DD-850E-931C85067607}">
      <formula1>0</formula1>
    </dataValidation>
  </dataValidations>
  <pageMargins left="0.69" right="0.35" top="0.97" bottom="0.75" header="0.3" footer="0.3"/>
  <pageSetup paperSize="9" scale="80" orientation="portrait" r:id="rId1"/>
  <rowBreaks count="5" manualBreakCount="5">
    <brk id="18" max="16383" man="1"/>
    <brk id="38" max="7" man="1"/>
    <brk id="57" max="7" man="1"/>
    <brk id="76" max="7" man="1"/>
    <brk id="95" max="7" man="1"/>
  </rowBreaks>
  <extLst>
    <ext xmlns:x14="http://schemas.microsoft.com/office/spreadsheetml/2009/9/main" uri="{CCE6A557-97BC-4b89-ADB6-D9C93CAAB3DF}">
      <x14:dataValidations xmlns:xm="http://schemas.microsoft.com/office/excel/2006/main" count="3">
        <x14:dataValidation type="list" allowBlank="1" showInputMessage="1" showErrorMessage="1" xr:uid="{D386E33B-6ABB-4C8F-ABF1-611B70A9B39B}">
          <x14:formula1>
            <xm:f>'データ（触らない）'!$C$2:$C$4</xm:f>
          </x14:formula1>
          <xm:sqref>C16:F16</xm:sqref>
        </x14:dataValidation>
        <x14:dataValidation type="list" allowBlank="1" showInputMessage="1" showErrorMessage="1" xr:uid="{79FB236E-8F51-4AA4-9321-7492ED6C5D24}">
          <x14:formula1>
            <xm:f>'データ（触らない）'!$D$3:$D$4</xm:f>
          </x14:formula1>
          <xm:sqref>C25:E25 C44:E44 C63:E63 C82:E82 C101:E101</xm:sqref>
        </x14:dataValidation>
        <x14:dataValidation type="list" allowBlank="1" showInputMessage="1" showErrorMessage="1" xr:uid="{314A854D-38CE-4DA1-BA39-DA8D21945D48}">
          <x14:formula1>
            <xm:f>'データ（触らない）'!$G$2:$G$21</xm:f>
          </x14:formula1>
          <xm:sqref>C22 C41 C60 C79 C98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3BA14-CE38-41F9-BB5F-D536B9CE2D49}">
  <sheetPr codeName="Sheet6">
    <tabColor rgb="FF00B0F0"/>
  </sheetPr>
  <dimension ref="A1:K31"/>
  <sheetViews>
    <sheetView view="pageBreakPreview" zoomScale="85" zoomScaleNormal="55" zoomScaleSheetLayoutView="85" workbookViewId="0">
      <selection activeCell="D5" sqref="D5:F5"/>
    </sheetView>
  </sheetViews>
  <sheetFormatPr defaultColWidth="8.19921875" defaultRowHeight="20.100000000000001" customHeight="1"/>
  <cols>
    <col min="1" max="2" width="3.19921875" style="53" customWidth="1"/>
    <col min="3" max="3" width="18.796875" style="53" customWidth="1"/>
    <col min="4" max="4" width="6.796875" style="53" customWidth="1"/>
    <col min="5" max="5" width="5.09765625" style="53" customWidth="1"/>
    <col min="6" max="6" width="6.796875" style="53" customWidth="1"/>
    <col min="7" max="7" width="2.296875" style="53" customWidth="1"/>
    <col min="8" max="8" width="6.796875" style="53" customWidth="1"/>
    <col min="9" max="9" width="5.09765625" style="53" customWidth="1"/>
    <col min="10" max="10" width="8.69921875" style="53" customWidth="1"/>
    <col min="11" max="11" width="11.5" style="53" customWidth="1"/>
    <col min="12" max="16384" width="8.19921875" style="53"/>
  </cols>
  <sheetData>
    <row r="1" spans="1:11" ht="20.100000000000001" customHeight="1">
      <c r="J1" s="240">
        <v>45931</v>
      </c>
      <c r="K1" s="240"/>
    </row>
    <row r="2" spans="1:11" ht="25.05" customHeight="1">
      <c r="A2" s="241" t="s">
        <v>89</v>
      </c>
      <c r="B2" s="241"/>
      <c r="C2" s="241"/>
      <c r="D2" s="241"/>
      <c r="E2" s="241"/>
      <c r="F2" s="241"/>
      <c r="G2" s="241"/>
      <c r="H2" s="241"/>
      <c r="I2" s="241"/>
      <c r="J2" s="241"/>
      <c r="K2" s="241"/>
    </row>
    <row r="3" spans="1:11" ht="25.05" customHeight="1">
      <c r="B3" s="54"/>
      <c r="C3" s="242" t="str">
        <f>【入力様式】パーティールームA!C3</f>
        <v>■■■■株式会社</v>
      </c>
      <c r="D3" s="242"/>
      <c r="E3" s="242"/>
      <c r="F3" s="242"/>
      <c r="G3" s="242"/>
      <c r="H3" s="55" t="s">
        <v>90</v>
      </c>
      <c r="I3" s="56"/>
      <c r="J3" s="56"/>
      <c r="K3" s="56"/>
    </row>
    <row r="4" spans="1:11" ht="50.1" customHeight="1" thickBot="1"/>
    <row r="5" spans="1:11" ht="25.05" customHeight="1" thickBot="1">
      <c r="B5" s="57"/>
      <c r="C5" s="58" t="s">
        <v>91</v>
      </c>
      <c r="D5" s="243">
        <f>'【通常】様式第4号(許可書))※入力不要'!B29</f>
        <v>0</v>
      </c>
      <c r="E5" s="244"/>
      <c r="F5" s="245"/>
      <c r="G5" s="59" t="s">
        <v>92</v>
      </c>
      <c r="H5" s="60"/>
    </row>
    <row r="6" spans="1:11" ht="3" customHeight="1">
      <c r="B6" s="56"/>
      <c r="C6" s="61"/>
      <c r="D6" s="62"/>
      <c r="E6" s="62"/>
      <c r="F6" s="62"/>
      <c r="G6" s="62"/>
    </row>
    <row r="7" spans="1:11" ht="25.05" customHeight="1">
      <c r="B7" s="63"/>
      <c r="C7" s="64" t="s">
        <v>93</v>
      </c>
      <c r="D7" s="246"/>
      <c r="E7" s="247"/>
      <c r="F7" s="248"/>
      <c r="G7" s="65"/>
    </row>
    <row r="8" spans="1:11" ht="30" customHeight="1">
      <c r="B8" s="66"/>
      <c r="C8" s="66"/>
    </row>
    <row r="9" spans="1:11" ht="25.05" customHeight="1">
      <c r="B9" s="63"/>
      <c r="C9" s="147" t="s">
        <v>94</v>
      </c>
      <c r="D9" s="234">
        <f>【入力様式】パーティールームA!C12</f>
        <v>0</v>
      </c>
      <c r="E9" s="235"/>
      <c r="F9" s="235"/>
      <c r="G9" s="236" t="s">
        <v>95</v>
      </c>
      <c r="H9" s="236"/>
      <c r="I9" s="235">
        <f>【入力様式】パーティールームA!C13</f>
        <v>0</v>
      </c>
      <c r="J9" s="235"/>
      <c r="K9" s="148" t="s">
        <v>96</v>
      </c>
    </row>
    <row r="10" spans="1:11" ht="25.05" customHeight="1">
      <c r="B10" s="63"/>
      <c r="C10" s="64" t="s">
        <v>97</v>
      </c>
      <c r="D10" s="230" t="str">
        <f>【入力様式】パーティールームA!C10</f>
        <v>●●イベント</v>
      </c>
      <c r="E10" s="230"/>
      <c r="F10" s="230"/>
      <c r="G10" s="230"/>
      <c r="H10" s="230"/>
      <c r="I10" s="230"/>
      <c r="J10" s="230"/>
      <c r="K10" s="230"/>
    </row>
    <row r="11" spans="1:11" ht="10.050000000000001" customHeight="1"/>
    <row r="12" spans="1:11" ht="25.05" customHeight="1">
      <c r="B12" s="67" t="s">
        <v>98</v>
      </c>
      <c r="C12" s="67" t="s">
        <v>99</v>
      </c>
      <c r="D12" s="231" t="s">
        <v>94</v>
      </c>
      <c r="E12" s="232"/>
      <c r="F12" s="231" t="s">
        <v>100</v>
      </c>
      <c r="G12" s="233"/>
      <c r="H12" s="232"/>
      <c r="I12" s="67" t="s">
        <v>101</v>
      </c>
      <c r="J12" s="67" t="s">
        <v>102</v>
      </c>
      <c r="K12" s="67" t="s">
        <v>103</v>
      </c>
    </row>
    <row r="13" spans="1:11" ht="25.05" customHeight="1">
      <c r="B13" s="68">
        <v>1</v>
      </c>
      <c r="C13" s="237" t="s">
        <v>104</v>
      </c>
      <c r="D13" s="238"/>
      <c r="E13" s="238"/>
      <c r="F13" s="238"/>
      <c r="G13" s="238"/>
      <c r="H13" s="238"/>
      <c r="I13" s="238"/>
      <c r="J13" s="238"/>
      <c r="K13" s="239"/>
    </row>
    <row r="14" spans="1:11" ht="25.05" customHeight="1">
      <c r="B14" s="69">
        <v>2</v>
      </c>
      <c r="C14" s="70"/>
      <c r="D14" s="71"/>
      <c r="E14" s="72"/>
      <c r="F14" s="227"/>
      <c r="G14" s="228"/>
      <c r="H14" s="229"/>
      <c r="I14" s="73"/>
      <c r="J14" s="74"/>
      <c r="K14" s="75"/>
    </row>
    <row r="15" spans="1:11" ht="25.05" customHeight="1">
      <c r="B15" s="69">
        <v>3</v>
      </c>
      <c r="C15" s="70"/>
      <c r="D15" s="71"/>
      <c r="E15" s="72"/>
      <c r="F15" s="227"/>
      <c r="G15" s="228"/>
      <c r="H15" s="229"/>
      <c r="I15" s="73"/>
      <c r="J15" s="74"/>
      <c r="K15" s="75"/>
    </row>
    <row r="16" spans="1:11" ht="25.05" customHeight="1">
      <c r="B16" s="69">
        <v>4</v>
      </c>
      <c r="C16" s="70"/>
      <c r="D16" s="71"/>
      <c r="E16" s="72"/>
      <c r="F16" s="227"/>
      <c r="G16" s="228"/>
      <c r="H16" s="229"/>
      <c r="I16" s="73"/>
      <c r="J16" s="74"/>
      <c r="K16" s="75"/>
    </row>
    <row r="17" spans="2:11" ht="25.05" customHeight="1">
      <c r="B17" s="69">
        <v>5</v>
      </c>
      <c r="C17" s="70"/>
      <c r="D17" s="71"/>
      <c r="E17" s="72"/>
      <c r="F17" s="227"/>
      <c r="G17" s="228"/>
      <c r="H17" s="229"/>
      <c r="I17" s="73"/>
      <c r="J17" s="74"/>
      <c r="K17" s="75"/>
    </row>
    <row r="18" spans="2:11" ht="25.05" customHeight="1">
      <c r="B18" s="69">
        <v>6</v>
      </c>
      <c r="C18" s="70"/>
      <c r="D18" s="71"/>
      <c r="E18" s="72"/>
      <c r="F18" s="227"/>
      <c r="G18" s="228"/>
      <c r="H18" s="229"/>
      <c r="I18" s="73"/>
      <c r="J18" s="74"/>
      <c r="K18" s="75"/>
    </row>
    <row r="19" spans="2:11" ht="25.05" customHeight="1">
      <c r="B19" s="69">
        <v>7</v>
      </c>
      <c r="C19" s="70"/>
      <c r="D19" s="71"/>
      <c r="E19" s="72"/>
      <c r="F19" s="227"/>
      <c r="G19" s="228"/>
      <c r="H19" s="229"/>
      <c r="I19" s="73"/>
      <c r="J19" s="74"/>
      <c r="K19" s="75"/>
    </row>
    <row r="20" spans="2:11" ht="25.05" customHeight="1">
      <c r="B20" s="69">
        <v>8</v>
      </c>
      <c r="C20" s="70"/>
      <c r="D20" s="71"/>
      <c r="E20" s="72"/>
      <c r="F20" s="227"/>
      <c r="G20" s="228"/>
      <c r="H20" s="229"/>
      <c r="I20" s="73"/>
      <c r="J20" s="74"/>
      <c r="K20" s="75"/>
    </row>
    <row r="21" spans="2:11" ht="25.05" customHeight="1">
      <c r="B21" s="69">
        <v>9</v>
      </c>
      <c r="C21" s="70"/>
      <c r="D21" s="71"/>
      <c r="E21" s="72"/>
      <c r="F21" s="227"/>
      <c r="G21" s="228"/>
      <c r="H21" s="229"/>
      <c r="I21" s="73"/>
      <c r="J21" s="74"/>
      <c r="K21" s="75"/>
    </row>
    <row r="22" spans="2:11" ht="25.05" customHeight="1" thickBot="1">
      <c r="B22" s="56" t="s">
        <v>105</v>
      </c>
      <c r="C22" s="77"/>
      <c r="D22" s="78"/>
      <c r="E22" s="79"/>
      <c r="F22" s="80"/>
      <c r="G22" s="81"/>
      <c r="H22" s="82"/>
      <c r="I22" s="83" t="s">
        <v>106</v>
      </c>
      <c r="J22" s="84"/>
      <c r="K22" s="85">
        <f>D5</f>
        <v>0</v>
      </c>
    </row>
    <row r="23" spans="2:11" ht="25.05" customHeight="1">
      <c r="B23" s="86"/>
      <c r="C23" s="87"/>
      <c r="D23" s="88"/>
      <c r="E23" s="89"/>
      <c r="F23" s="80"/>
      <c r="G23" s="90"/>
      <c r="H23" s="91" t="s">
        <v>107</v>
      </c>
      <c r="I23" s="92"/>
      <c r="J23" s="93">
        <v>0.1</v>
      </c>
      <c r="K23" s="76">
        <f>ROUNDDOWN($K$22/(1+$J$23)*$J$23,0)</f>
        <v>0</v>
      </c>
    </row>
    <row r="24" spans="2:11" ht="25.05" customHeight="1">
      <c r="B24" s="86"/>
      <c r="C24" s="94"/>
      <c r="D24" s="95"/>
      <c r="E24" s="96"/>
      <c r="F24" s="56"/>
      <c r="G24" s="97"/>
      <c r="H24" s="98" t="s">
        <v>107</v>
      </c>
      <c r="I24" s="99"/>
      <c r="J24" s="100">
        <v>0.08</v>
      </c>
      <c r="K24" s="76"/>
    </row>
    <row r="25" spans="2:11" ht="10.050000000000001" customHeight="1" thickBot="1">
      <c r="C25" s="101"/>
      <c r="D25" s="102"/>
      <c r="E25" s="103"/>
      <c r="G25" s="104"/>
    </row>
    <row r="26" spans="2:11" ht="22.05" customHeight="1">
      <c r="E26" s="105" t="s">
        <v>108</v>
      </c>
      <c r="G26" s="56"/>
    </row>
    <row r="27" spans="2:11" ht="15" customHeight="1">
      <c r="B27" s="106" t="s">
        <v>109</v>
      </c>
      <c r="C27" s="54"/>
      <c r="D27" s="106"/>
      <c r="E27" s="106"/>
      <c r="F27" s="106"/>
      <c r="G27" s="54"/>
      <c r="H27" s="106"/>
      <c r="I27" s="54"/>
      <c r="J27" s="106"/>
      <c r="K27" s="106"/>
    </row>
    <row r="28" spans="2:11" ht="15" customHeight="1">
      <c r="B28" s="107" t="s">
        <v>110</v>
      </c>
      <c r="C28" s="108" t="s">
        <v>111</v>
      </c>
      <c r="G28" s="56"/>
      <c r="I28" s="109"/>
      <c r="K28" s="110"/>
    </row>
    <row r="29" spans="2:11" ht="15" customHeight="1">
      <c r="B29" s="107" t="s">
        <v>110</v>
      </c>
      <c r="C29" s="108" t="s">
        <v>112</v>
      </c>
      <c r="G29" s="56"/>
      <c r="I29" s="109"/>
      <c r="K29" s="110"/>
    </row>
    <row r="30" spans="2:11" ht="15" customHeight="1">
      <c r="B30" s="107" t="s">
        <v>110</v>
      </c>
      <c r="C30" s="108" t="s">
        <v>113</v>
      </c>
      <c r="G30" s="56"/>
      <c r="I30" s="56"/>
      <c r="K30" s="110"/>
    </row>
    <row r="31" spans="2:11" ht="15" customHeight="1">
      <c r="B31" s="111" t="s">
        <v>110</v>
      </c>
      <c r="C31" s="112" t="s">
        <v>114</v>
      </c>
      <c r="D31" s="106"/>
      <c r="E31" s="106"/>
      <c r="F31" s="106"/>
      <c r="G31" s="113"/>
      <c r="H31" s="106"/>
      <c r="I31" s="106"/>
      <c r="J31" s="106"/>
      <c r="K31" s="114"/>
    </row>
  </sheetData>
  <sheetProtection algorithmName="SHA-512" hashValue="CbFGOFoW7jmlpz5ZOMQahlwK/PYuZPQk+b6IWKWMqYyPNAbxExgHmERAuosYxHbYRJbfklFvG6zpq1jnPFt6mw==" saltValue="7K5Uz3d+RFyn9YHk1gOYVQ==" spinCount="100000" sheet="1"/>
  <mergeCells count="20">
    <mergeCell ref="D9:F9"/>
    <mergeCell ref="I9:J9"/>
    <mergeCell ref="G9:H9"/>
    <mergeCell ref="C13:K13"/>
    <mergeCell ref="J1:K1"/>
    <mergeCell ref="A2:K2"/>
    <mergeCell ref="C3:G3"/>
    <mergeCell ref="D5:F5"/>
    <mergeCell ref="D7:F7"/>
    <mergeCell ref="F21:H21"/>
    <mergeCell ref="D10:K10"/>
    <mergeCell ref="D12:E12"/>
    <mergeCell ref="F12:H12"/>
    <mergeCell ref="F14:H14"/>
    <mergeCell ref="F15:H15"/>
    <mergeCell ref="F16:H16"/>
    <mergeCell ref="F17:H17"/>
    <mergeCell ref="F18:H18"/>
    <mergeCell ref="F19:H19"/>
    <mergeCell ref="F20:H20"/>
  </mergeCells>
  <phoneticPr fontId="2"/>
  <conditionalFormatting sqref="D9:F9">
    <cfRule type="expression" dxfId="61" priority="2">
      <formula>$D$9=DATE(1900,1,0)</formula>
    </cfRule>
  </conditionalFormatting>
  <conditionalFormatting sqref="I9:J9">
    <cfRule type="expression" dxfId="60" priority="1">
      <formula>$I$9=DATE(1900,1,0)</formula>
    </cfRule>
  </conditionalFormatting>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7177F-C5D2-49DE-A4DB-ABB9C72098CF}">
  <sheetPr codeName="Sheet7">
    <tabColor rgb="FF00B0F0"/>
    <pageSetUpPr fitToPage="1"/>
  </sheetPr>
  <dimension ref="A1:AQ44"/>
  <sheetViews>
    <sheetView showGridLines="0" view="pageBreakPreview" topLeftCell="A13" zoomScale="70" zoomScaleNormal="100" zoomScaleSheetLayoutView="70" workbookViewId="0">
      <selection activeCell="F28" sqref="F28"/>
    </sheetView>
  </sheetViews>
  <sheetFormatPr defaultColWidth="7.296875" defaultRowHeight="22.05" customHeight="1"/>
  <cols>
    <col min="1" max="1" width="3.69921875" customWidth="1"/>
    <col min="2" max="2" width="33.296875" bestFit="1" customWidth="1"/>
    <col min="3" max="3" width="13.296875" customWidth="1"/>
    <col min="4" max="4" width="14.296875" customWidth="1"/>
    <col min="5" max="5" width="11.09765625" customWidth="1"/>
    <col min="6" max="6" width="10.69921875" bestFit="1" customWidth="1"/>
    <col min="7" max="7" width="4.09765625" style="18" customWidth="1"/>
    <col min="8" max="8" width="9.59765625" bestFit="1" customWidth="1"/>
    <col min="9" max="9" width="21.5" customWidth="1"/>
    <col min="10" max="10" width="20.296875" customWidth="1"/>
  </cols>
  <sheetData>
    <row r="1" spans="1:43" ht="22.05" customHeight="1">
      <c r="B1" t="s">
        <v>115</v>
      </c>
    </row>
    <row r="2" spans="1:43" ht="22.05" customHeight="1">
      <c r="B2" s="47" t="s">
        <v>116</v>
      </c>
      <c r="C2" s="52" t="s">
        <v>117</v>
      </c>
      <c r="D2" s="250" t="s">
        <v>118</v>
      </c>
      <c r="E2" s="251"/>
      <c r="F2" s="18"/>
      <c r="G2"/>
    </row>
    <row r="3" spans="1:43" ht="22.05" customHeight="1">
      <c r="B3" s="149">
        <f>【入力様式】パーティールームA!C21</f>
        <v>0</v>
      </c>
      <c r="C3" s="171">
        <f>【入力様式】パーティールームA!C22</f>
        <v>0</v>
      </c>
      <c r="D3" s="46">
        <f>【入力様式】パーティールームA!L23</f>
        <v>0</v>
      </c>
      <c r="E3" s="42" t="s">
        <v>119</v>
      </c>
      <c r="F3" s="18"/>
      <c r="G3"/>
    </row>
    <row r="4" spans="1:43" s="18" customFormat="1" ht="22.05" customHeight="1">
      <c r="A4"/>
      <c r="B4" s="150">
        <f>【入力様式】パーティールームA!C40</f>
        <v>0</v>
      </c>
      <c r="C4" s="32">
        <f>【入力様式】パーティールームA!C41</f>
        <v>0</v>
      </c>
      <c r="D4" s="151">
        <f>【入力様式】パーティールームA!L42</f>
        <v>0</v>
      </c>
      <c r="E4" s="145" t="s">
        <v>119</v>
      </c>
      <c r="G4"/>
      <c r="H4"/>
      <c r="I4"/>
      <c r="J4"/>
      <c r="K4"/>
      <c r="L4"/>
      <c r="M4"/>
      <c r="N4"/>
      <c r="O4"/>
      <c r="P4"/>
      <c r="Q4"/>
      <c r="R4"/>
      <c r="S4"/>
      <c r="T4"/>
      <c r="U4"/>
      <c r="V4"/>
      <c r="W4"/>
      <c r="X4"/>
      <c r="Y4"/>
      <c r="Z4"/>
      <c r="AA4"/>
      <c r="AB4"/>
      <c r="AC4"/>
      <c r="AD4"/>
      <c r="AE4"/>
      <c r="AF4"/>
      <c r="AG4"/>
      <c r="AH4"/>
      <c r="AI4"/>
      <c r="AJ4"/>
      <c r="AK4"/>
      <c r="AL4"/>
      <c r="AM4"/>
      <c r="AN4"/>
      <c r="AO4"/>
      <c r="AP4"/>
    </row>
    <row r="5" spans="1:43" s="18" customFormat="1" ht="22.05" customHeight="1">
      <c r="A5"/>
      <c r="B5" s="149">
        <f>【入力様式】パーティールームA!C59</f>
        <v>0</v>
      </c>
      <c r="C5" s="32">
        <f>【入力様式】パーティールームA!C60</f>
        <v>0</v>
      </c>
      <c r="D5" s="49">
        <f>【入力様式】パーティールームA!L61</f>
        <v>0</v>
      </c>
      <c r="E5" s="42" t="s">
        <v>119</v>
      </c>
      <c r="G5"/>
      <c r="H5"/>
      <c r="I5"/>
      <c r="J5"/>
      <c r="K5"/>
      <c r="L5"/>
      <c r="M5"/>
      <c r="N5"/>
      <c r="O5"/>
      <c r="P5"/>
      <c r="Q5"/>
      <c r="R5"/>
      <c r="S5"/>
      <c r="T5"/>
      <c r="U5"/>
      <c r="V5"/>
      <c r="W5"/>
      <c r="X5"/>
      <c r="Y5"/>
      <c r="Z5"/>
      <c r="AA5"/>
      <c r="AB5"/>
      <c r="AC5"/>
      <c r="AD5"/>
      <c r="AE5"/>
      <c r="AF5"/>
      <c r="AG5"/>
      <c r="AH5"/>
      <c r="AI5"/>
      <c r="AJ5"/>
      <c r="AK5"/>
      <c r="AL5"/>
      <c r="AM5"/>
      <c r="AN5"/>
      <c r="AO5"/>
      <c r="AP5"/>
    </row>
    <row r="6" spans="1:43" s="18" customFormat="1" ht="22.05" customHeight="1">
      <c r="A6"/>
      <c r="B6" s="150">
        <f>【入力様式】パーティールームA!C78</f>
        <v>0</v>
      </c>
      <c r="C6" s="32">
        <f>【入力様式】パーティールームA!C79</f>
        <v>0</v>
      </c>
      <c r="D6" s="151">
        <f>【入力様式】パーティールームA!L80</f>
        <v>0</v>
      </c>
      <c r="E6" s="145" t="s">
        <v>119</v>
      </c>
      <c r="G6"/>
      <c r="H6"/>
      <c r="I6"/>
      <c r="J6"/>
      <c r="K6"/>
      <c r="L6"/>
      <c r="M6"/>
      <c r="N6"/>
      <c r="O6"/>
      <c r="P6"/>
      <c r="Q6"/>
      <c r="R6"/>
      <c r="S6"/>
      <c r="T6"/>
      <c r="U6"/>
      <c r="V6"/>
      <c r="W6"/>
      <c r="X6"/>
      <c r="Y6"/>
      <c r="Z6"/>
      <c r="AA6"/>
      <c r="AB6"/>
      <c r="AC6"/>
      <c r="AD6"/>
      <c r="AE6"/>
      <c r="AF6"/>
      <c r="AG6"/>
      <c r="AH6"/>
      <c r="AI6"/>
      <c r="AJ6"/>
      <c r="AK6"/>
      <c r="AL6"/>
      <c r="AM6"/>
      <c r="AN6"/>
      <c r="AO6"/>
      <c r="AP6"/>
    </row>
    <row r="7" spans="1:43" s="18" customFormat="1" ht="22.05" customHeight="1" thickBot="1">
      <c r="A7"/>
      <c r="B7" s="149">
        <f>【入力様式】パーティールームA!C97</f>
        <v>0</v>
      </c>
      <c r="C7" s="32">
        <f>【入力様式】パーティールームA!C98</f>
        <v>0</v>
      </c>
      <c r="D7" s="49">
        <f>【入力様式】パーティールームA!L99</f>
        <v>0</v>
      </c>
      <c r="E7" s="42" t="s">
        <v>119</v>
      </c>
      <c r="G7"/>
      <c r="H7"/>
      <c r="I7"/>
      <c r="J7"/>
      <c r="K7"/>
      <c r="L7"/>
      <c r="M7"/>
      <c r="N7"/>
      <c r="O7"/>
      <c r="P7"/>
      <c r="Q7"/>
      <c r="R7"/>
      <c r="S7"/>
      <c r="T7"/>
      <c r="U7"/>
      <c r="V7"/>
      <c r="W7"/>
      <c r="X7"/>
      <c r="Y7"/>
      <c r="Z7"/>
      <c r="AA7"/>
      <c r="AB7"/>
      <c r="AC7"/>
      <c r="AD7"/>
      <c r="AE7"/>
      <c r="AF7"/>
      <c r="AG7"/>
      <c r="AH7"/>
      <c r="AI7"/>
      <c r="AJ7"/>
      <c r="AK7"/>
      <c r="AL7"/>
      <c r="AM7"/>
      <c r="AN7"/>
      <c r="AO7"/>
      <c r="AP7"/>
    </row>
    <row r="8" spans="1:43" s="18" customFormat="1" ht="22.05" customHeight="1" thickBot="1">
      <c r="A8"/>
      <c r="B8" s="249" t="s">
        <v>120</v>
      </c>
      <c r="C8" s="213"/>
      <c r="D8" s="152">
        <f>SUM(D3,D4,D5,D6,D7)</f>
        <v>0</v>
      </c>
      <c r="E8" s="153" t="s">
        <v>119</v>
      </c>
      <c r="G8"/>
      <c r="H8"/>
      <c r="I8"/>
      <c r="J8"/>
      <c r="K8"/>
      <c r="L8"/>
      <c r="M8"/>
      <c r="N8"/>
      <c r="O8"/>
      <c r="P8"/>
      <c r="Q8"/>
      <c r="R8"/>
      <c r="S8"/>
      <c r="T8"/>
      <c r="U8"/>
      <c r="V8"/>
      <c r="W8"/>
      <c r="X8"/>
      <c r="Y8"/>
      <c r="Z8"/>
      <c r="AA8"/>
      <c r="AB8"/>
      <c r="AC8"/>
      <c r="AD8"/>
      <c r="AE8"/>
      <c r="AF8"/>
      <c r="AG8"/>
      <c r="AH8"/>
      <c r="AI8"/>
      <c r="AJ8"/>
      <c r="AK8"/>
      <c r="AL8"/>
      <c r="AM8"/>
      <c r="AN8"/>
      <c r="AO8"/>
      <c r="AP8"/>
    </row>
    <row r="10" spans="1:43" s="18" customFormat="1" ht="22.05" customHeight="1">
      <c r="A10"/>
      <c r="B10" s="47" t="s">
        <v>121</v>
      </c>
      <c r="C10" s="47" t="s">
        <v>122</v>
      </c>
      <c r="D10" s="47" t="s">
        <v>123</v>
      </c>
      <c r="E10" s="47" t="s">
        <v>124</v>
      </c>
      <c r="F10" s="48" t="s">
        <v>125</v>
      </c>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3" s="18" customFormat="1" ht="22.05" customHeight="1">
      <c r="A11"/>
      <c r="B11" s="15" t="s">
        <v>66</v>
      </c>
      <c r="C11" s="16">
        <v>1000</v>
      </c>
      <c r="D11" s="45">
        <f>SUM(【入力様式】パーティールームA!D28,【入力様式】パーティールームA!D47,【入力様式】パーティールームA!D66,【入力様式】パーティールームA!D85,【入力様式】パーティールームA!D104)</f>
        <v>0</v>
      </c>
      <c r="E11" s="6" t="s">
        <v>67</v>
      </c>
      <c r="F11" s="19">
        <f>C11*D11</f>
        <v>0</v>
      </c>
      <c r="H11"/>
      <c r="I11"/>
      <c r="J11"/>
      <c r="K11"/>
      <c r="L11"/>
      <c r="M11"/>
      <c r="N11"/>
      <c r="O11"/>
      <c r="P11"/>
      <c r="Q11"/>
      <c r="R11"/>
      <c r="S11"/>
      <c r="T11"/>
      <c r="U11"/>
      <c r="V11"/>
      <c r="W11"/>
      <c r="X11"/>
      <c r="Y11"/>
      <c r="Z11"/>
      <c r="AA11"/>
      <c r="AB11"/>
      <c r="AC11"/>
      <c r="AD11"/>
      <c r="AE11"/>
      <c r="AF11"/>
      <c r="AG11"/>
      <c r="AH11"/>
      <c r="AI11"/>
      <c r="AJ11"/>
      <c r="AK11"/>
      <c r="AL11"/>
      <c r="AM11"/>
      <c r="AN11"/>
      <c r="AO11"/>
      <c r="AP11"/>
      <c r="AQ11"/>
    </row>
    <row r="12" spans="1:43" s="18" customFormat="1" ht="22.05" customHeight="1">
      <c r="A12"/>
      <c r="B12" s="15" t="s">
        <v>69</v>
      </c>
      <c r="C12" s="16">
        <v>1000</v>
      </c>
      <c r="D12" s="45">
        <f>SUM(【入力様式】パーティールームA!D29,【入力様式】パーティールームA!D48,【入力様式】パーティールームA!D67,【入力様式】パーティールームA!D86,【入力様式】パーティールームA!D105)</f>
        <v>0</v>
      </c>
      <c r="E12" s="6" t="s">
        <v>70</v>
      </c>
      <c r="F12" s="19">
        <f>C12*D12</f>
        <v>0</v>
      </c>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pans="1:43" s="18" customFormat="1" ht="22.05" customHeight="1">
      <c r="A13"/>
      <c r="B13" s="186" t="s">
        <v>232</v>
      </c>
      <c r="C13" s="188">
        <v>1000</v>
      </c>
      <c r="D13" s="181">
        <f>SUM(【入力様式】パーティールームA!D30,【入力様式】パーティールームA!D49,【入力様式】パーティールームA!D68,【入力様式】パーティールームA!D87,【入力様式】パーティールームA!D106)</f>
        <v>0</v>
      </c>
      <c r="E13" s="187" t="s">
        <v>271</v>
      </c>
      <c r="F13" s="182">
        <f t="shared" ref="F13:F15" si="0">C13*D13</f>
        <v>0</v>
      </c>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pans="1:43" s="18" customFormat="1" ht="22.05" customHeight="1">
      <c r="A14"/>
      <c r="B14" s="186" t="s">
        <v>234</v>
      </c>
      <c r="C14" s="188">
        <v>1000</v>
      </c>
      <c r="D14" s="181">
        <f>SUM(【入力様式】パーティールームA!D31,【入力様式】パーティールームA!D50,【入力様式】パーティールームA!D69,【入力様式】パーティールームA!D88,【入力様式】パーティールームA!D107)</f>
        <v>0</v>
      </c>
      <c r="E14" s="187" t="s">
        <v>67</v>
      </c>
      <c r="F14" s="182">
        <f t="shared" si="0"/>
        <v>0</v>
      </c>
      <c r="H14"/>
      <c r="I14"/>
      <c r="J14"/>
      <c r="K14"/>
      <c r="L14"/>
      <c r="M14"/>
      <c r="N14"/>
      <c r="O14"/>
      <c r="P14"/>
      <c r="Q14"/>
      <c r="R14"/>
      <c r="S14"/>
      <c r="T14"/>
      <c r="U14"/>
      <c r="V14"/>
      <c r="W14"/>
      <c r="X14"/>
      <c r="Y14"/>
      <c r="Z14"/>
      <c r="AA14"/>
      <c r="AB14"/>
      <c r="AC14"/>
      <c r="AD14"/>
      <c r="AE14"/>
      <c r="AF14"/>
      <c r="AG14"/>
      <c r="AH14"/>
      <c r="AI14"/>
      <c r="AJ14"/>
      <c r="AK14"/>
      <c r="AL14"/>
      <c r="AM14"/>
      <c r="AN14"/>
      <c r="AO14"/>
      <c r="AP14"/>
      <c r="AQ14"/>
    </row>
    <row r="15" spans="1:43" s="18" customFormat="1" ht="22.05" customHeight="1">
      <c r="A15"/>
      <c r="B15" s="15" t="s">
        <v>77</v>
      </c>
      <c r="C15" s="16">
        <v>1000</v>
      </c>
      <c r="D15" s="45">
        <f>SUM(【入力様式】パーティールームA!D32,【入力様式】パーティールームA!D51,【入力様式】パーティールームA!D70,【入力様式】パーティールームA!D89,【入力様式】パーティールームA!D108)</f>
        <v>0</v>
      </c>
      <c r="E15" s="6" t="s">
        <v>67</v>
      </c>
      <c r="F15" s="19">
        <f t="shared" si="0"/>
        <v>0</v>
      </c>
      <c r="H15"/>
      <c r="I15"/>
      <c r="J15"/>
      <c r="K15"/>
      <c r="L15"/>
      <c r="M15"/>
      <c r="N15"/>
      <c r="O15"/>
      <c r="P15"/>
      <c r="Q15"/>
      <c r="R15"/>
      <c r="S15"/>
      <c r="T15"/>
      <c r="U15"/>
      <c r="V15"/>
      <c r="W15"/>
      <c r="X15"/>
      <c r="Y15"/>
      <c r="Z15"/>
      <c r="AA15"/>
      <c r="AB15"/>
      <c r="AC15"/>
      <c r="AD15"/>
      <c r="AE15"/>
      <c r="AF15"/>
      <c r="AG15"/>
      <c r="AH15"/>
      <c r="AI15"/>
      <c r="AJ15"/>
      <c r="AK15"/>
      <c r="AL15"/>
      <c r="AM15"/>
      <c r="AN15"/>
      <c r="AO15"/>
      <c r="AP15"/>
      <c r="AQ15"/>
    </row>
    <row r="16" spans="1:43" s="18" customFormat="1" ht="22.05" customHeight="1">
      <c r="A16"/>
      <c r="B16" s="183" t="s">
        <v>126</v>
      </c>
      <c r="C16" s="16">
        <v>50</v>
      </c>
      <c r="D16" s="184">
        <f>SUM(【入力様式】パーティールームA!G28,【入力様式】パーティールームA!G47,【入力様式】パーティールームA!G66,【入力様式】パーティールームA!G85,【入力様式】パーティールームA!G104)</f>
        <v>0</v>
      </c>
      <c r="E16" s="9" t="s">
        <v>68</v>
      </c>
      <c r="F16" s="185">
        <f>C16*D16</f>
        <v>0</v>
      </c>
      <c r="H16"/>
      <c r="I16"/>
      <c r="J16"/>
      <c r="K16"/>
      <c r="L16"/>
      <c r="M16"/>
      <c r="N16"/>
      <c r="O16"/>
      <c r="P16"/>
      <c r="Q16"/>
      <c r="R16"/>
      <c r="S16"/>
      <c r="T16"/>
      <c r="U16"/>
      <c r="V16"/>
      <c r="W16"/>
      <c r="X16"/>
      <c r="Y16"/>
      <c r="Z16"/>
      <c r="AA16"/>
      <c r="AB16"/>
      <c r="AC16"/>
      <c r="AD16"/>
      <c r="AE16"/>
      <c r="AF16"/>
      <c r="AG16"/>
      <c r="AH16"/>
      <c r="AI16"/>
      <c r="AJ16"/>
      <c r="AK16"/>
      <c r="AL16"/>
      <c r="AM16"/>
      <c r="AN16"/>
      <c r="AO16"/>
      <c r="AP16"/>
      <c r="AQ16"/>
    </row>
    <row r="17" spans="1:43" s="18" customFormat="1" ht="22.05" customHeight="1">
      <c r="A17"/>
      <c r="B17" s="15" t="s">
        <v>127</v>
      </c>
      <c r="C17" s="16">
        <v>100</v>
      </c>
      <c r="D17" s="184">
        <f>SUM(【入力様式】パーティールームA!G29,【入力様式】パーティールームA!G48,【入力様式】パーティールームA!G67,【入力様式】パーティールームA!G86,【入力様式】パーティールームA!G105)</f>
        <v>0</v>
      </c>
      <c r="E17" s="6" t="s">
        <v>71</v>
      </c>
      <c r="F17" s="19">
        <f t="shared" ref="F17:F25" si="1">C17*D17</f>
        <v>0</v>
      </c>
      <c r="H17"/>
      <c r="I17"/>
      <c r="J17"/>
      <c r="K17"/>
      <c r="L17"/>
      <c r="M17"/>
      <c r="N17"/>
      <c r="O17"/>
      <c r="P17"/>
      <c r="Q17"/>
      <c r="R17"/>
      <c r="S17"/>
      <c r="T17"/>
      <c r="U17"/>
      <c r="V17"/>
      <c r="W17"/>
      <c r="X17"/>
      <c r="Y17"/>
      <c r="Z17"/>
      <c r="AA17"/>
      <c r="AB17"/>
      <c r="AC17"/>
      <c r="AD17"/>
      <c r="AE17"/>
      <c r="AF17"/>
      <c r="AG17"/>
      <c r="AH17"/>
      <c r="AI17"/>
      <c r="AJ17"/>
      <c r="AK17"/>
      <c r="AL17"/>
      <c r="AM17"/>
      <c r="AN17"/>
      <c r="AO17"/>
      <c r="AP17"/>
      <c r="AQ17"/>
    </row>
    <row r="18" spans="1:43" s="18" customFormat="1" ht="22.05" customHeight="1">
      <c r="A18"/>
      <c r="B18" s="15" t="s">
        <v>128</v>
      </c>
      <c r="C18" s="16">
        <v>100</v>
      </c>
      <c r="D18" s="184">
        <f>SUM(【入力様式】パーティールームA!G30,【入力様式】パーティールームA!G49,【入力様式】パーティールームA!G68,【入力様式】パーティールームA!G87,【入力様式】パーティールームA!G106)</f>
        <v>0</v>
      </c>
      <c r="E18" s="6" t="s">
        <v>74</v>
      </c>
      <c r="F18" s="19">
        <f t="shared" si="1"/>
        <v>0</v>
      </c>
      <c r="H18"/>
      <c r="I18"/>
      <c r="J18"/>
      <c r="K18"/>
      <c r="L18"/>
      <c r="M18"/>
      <c r="N18"/>
      <c r="O18"/>
      <c r="P18"/>
      <c r="Q18"/>
      <c r="R18"/>
      <c r="S18"/>
      <c r="T18"/>
      <c r="U18"/>
      <c r="V18"/>
      <c r="W18"/>
      <c r="X18"/>
      <c r="Y18"/>
      <c r="Z18"/>
      <c r="AA18"/>
      <c r="AB18"/>
      <c r="AC18"/>
      <c r="AD18"/>
      <c r="AE18"/>
      <c r="AF18"/>
      <c r="AG18"/>
      <c r="AH18"/>
      <c r="AI18"/>
      <c r="AJ18"/>
      <c r="AK18"/>
      <c r="AL18"/>
      <c r="AM18"/>
      <c r="AN18"/>
      <c r="AO18"/>
      <c r="AP18"/>
      <c r="AQ18"/>
    </row>
    <row r="19" spans="1:43" s="18" customFormat="1" ht="22.05" customHeight="1">
      <c r="A19"/>
      <c r="B19" s="15" t="s">
        <v>129</v>
      </c>
      <c r="C19" s="16">
        <v>300</v>
      </c>
      <c r="D19" s="184">
        <f>SUM(【入力様式】パーティールームA!G31,【入力様式】パーティールームA!G50,【入力様式】パーティールームA!G69,【入力様式】パーティールームA!G88,【入力様式】パーティールームA!G107)</f>
        <v>0</v>
      </c>
      <c r="E19" s="6" t="s">
        <v>71</v>
      </c>
      <c r="F19" s="19">
        <f t="shared" si="1"/>
        <v>0</v>
      </c>
      <c r="H19"/>
      <c r="I19"/>
      <c r="J19"/>
      <c r="K19"/>
      <c r="L19"/>
      <c r="M19"/>
      <c r="N19"/>
      <c r="O19"/>
      <c r="P19"/>
      <c r="Q19"/>
      <c r="R19"/>
      <c r="S19"/>
      <c r="T19"/>
      <c r="U19"/>
      <c r="V19"/>
      <c r="W19"/>
      <c r="X19"/>
      <c r="Y19"/>
      <c r="Z19"/>
      <c r="AA19"/>
      <c r="AB19"/>
      <c r="AC19"/>
      <c r="AD19"/>
      <c r="AE19"/>
      <c r="AF19"/>
      <c r="AG19"/>
      <c r="AH19"/>
      <c r="AI19"/>
      <c r="AJ19"/>
      <c r="AK19"/>
      <c r="AL19"/>
      <c r="AM19"/>
      <c r="AN19"/>
      <c r="AO19"/>
      <c r="AP19"/>
      <c r="AQ19"/>
    </row>
    <row r="20" spans="1:43" s="18" customFormat="1" ht="22.05" customHeight="1">
      <c r="A20"/>
      <c r="B20" s="15" t="s">
        <v>78</v>
      </c>
      <c r="C20" s="16">
        <v>2500</v>
      </c>
      <c r="D20" s="184">
        <f>SUM(【入力様式】パーティールームA!G32,【入力様式】パーティールームA!G51,【入力様式】パーティールームA!G70,【入力様式】パーティールームA!G89,【入力様式】パーティールームA!G108)</f>
        <v>0</v>
      </c>
      <c r="E20" s="6" t="s">
        <v>71</v>
      </c>
      <c r="F20" s="19">
        <f t="shared" si="1"/>
        <v>0</v>
      </c>
      <c r="H20"/>
      <c r="I20"/>
      <c r="J20"/>
      <c r="K20"/>
      <c r="L20"/>
      <c r="M20"/>
      <c r="N20"/>
      <c r="O20"/>
      <c r="P20"/>
      <c r="Q20"/>
      <c r="R20"/>
      <c r="S20"/>
      <c r="T20"/>
      <c r="U20"/>
      <c r="V20"/>
      <c r="W20"/>
      <c r="X20"/>
      <c r="Y20"/>
      <c r="Z20"/>
      <c r="AA20"/>
      <c r="AB20"/>
      <c r="AC20"/>
      <c r="AD20"/>
      <c r="AE20"/>
      <c r="AF20"/>
      <c r="AG20"/>
      <c r="AH20"/>
      <c r="AI20"/>
      <c r="AJ20"/>
      <c r="AK20"/>
      <c r="AL20"/>
      <c r="AM20"/>
      <c r="AN20"/>
      <c r="AO20"/>
      <c r="AP20"/>
      <c r="AQ20"/>
    </row>
    <row r="21" spans="1:43" s="18" customFormat="1" ht="22.05" customHeight="1">
      <c r="A21"/>
      <c r="B21" s="15" t="s">
        <v>130</v>
      </c>
      <c r="C21" s="16">
        <v>1000</v>
      </c>
      <c r="D21" s="184">
        <f>SUM(【入力様式】パーティールームA!G33,【入力様式】パーティールームA!G52,【入力様式】パーティールームA!G71,【入力様式】パーティールームA!G90,【入力様式】パーティールームA!G109)</f>
        <v>0</v>
      </c>
      <c r="E21" s="6" t="s">
        <v>71</v>
      </c>
      <c r="F21" s="19">
        <f t="shared" si="1"/>
        <v>0</v>
      </c>
      <c r="H21"/>
      <c r="I21"/>
      <c r="J21"/>
      <c r="K21"/>
      <c r="L21"/>
      <c r="M21"/>
      <c r="N21"/>
      <c r="O21"/>
      <c r="P21"/>
      <c r="Q21"/>
      <c r="R21"/>
      <c r="S21"/>
      <c r="T21"/>
      <c r="U21"/>
      <c r="V21"/>
      <c r="W21"/>
      <c r="X21"/>
      <c r="Y21"/>
      <c r="Z21"/>
      <c r="AA21"/>
      <c r="AB21"/>
      <c r="AC21"/>
      <c r="AD21"/>
      <c r="AE21"/>
      <c r="AF21"/>
      <c r="AG21"/>
      <c r="AH21"/>
      <c r="AI21"/>
      <c r="AJ21"/>
      <c r="AK21"/>
      <c r="AL21"/>
      <c r="AM21"/>
      <c r="AN21"/>
      <c r="AO21"/>
      <c r="AP21"/>
      <c r="AQ21"/>
    </row>
    <row r="22" spans="1:43" s="18" customFormat="1" ht="22.05" customHeight="1">
      <c r="A22"/>
      <c r="B22" s="15" t="s">
        <v>269</v>
      </c>
      <c r="C22" s="16">
        <v>100</v>
      </c>
      <c r="D22" s="184">
        <f>SUM(【入力様式】パーティールームA!G34,【入力様式】パーティールームA!G53,【入力様式】パーティールームA!G72,【入力様式】パーティールームA!G91,【入力様式】パーティールームA!G110)</f>
        <v>0</v>
      </c>
      <c r="E22" s="6" t="s">
        <v>80</v>
      </c>
      <c r="F22" s="19">
        <f t="shared" si="1"/>
        <v>0</v>
      </c>
      <c r="H22"/>
      <c r="I22"/>
      <c r="J22"/>
      <c r="K22"/>
      <c r="L22"/>
      <c r="M22"/>
      <c r="N22"/>
      <c r="O22"/>
      <c r="P22"/>
      <c r="Q22"/>
      <c r="R22"/>
      <c r="S22"/>
      <c r="T22"/>
      <c r="U22"/>
      <c r="V22"/>
      <c r="W22"/>
      <c r="X22"/>
      <c r="Y22"/>
      <c r="Z22"/>
      <c r="AA22"/>
      <c r="AB22"/>
      <c r="AC22"/>
      <c r="AD22"/>
      <c r="AE22"/>
      <c r="AF22"/>
      <c r="AG22"/>
      <c r="AH22"/>
      <c r="AI22"/>
      <c r="AJ22"/>
      <c r="AK22"/>
      <c r="AL22"/>
      <c r="AM22"/>
      <c r="AN22"/>
      <c r="AO22"/>
      <c r="AP22"/>
      <c r="AQ22"/>
    </row>
    <row r="23" spans="1:43" s="18" customFormat="1" ht="22.05" customHeight="1">
      <c r="A23"/>
      <c r="B23" s="15" t="s">
        <v>270</v>
      </c>
      <c r="C23" s="16">
        <v>100</v>
      </c>
      <c r="D23" s="184">
        <f>SUM(【入力様式】パーティールームA!G35,【入力様式】パーティールームA!G54,【入力様式】パーティールームA!G73,【入力様式】パーティールームA!G92,【入力様式】パーティールームA!G111)</f>
        <v>0</v>
      </c>
      <c r="E23" s="6" t="s">
        <v>80</v>
      </c>
      <c r="F23" s="19">
        <f t="shared" si="1"/>
        <v>0</v>
      </c>
      <c r="H23"/>
      <c r="I23"/>
      <c r="J23"/>
      <c r="K23"/>
      <c r="L23"/>
      <c r="M23"/>
      <c r="N23"/>
      <c r="O23"/>
      <c r="P23"/>
      <c r="Q23"/>
      <c r="R23"/>
      <c r="S23"/>
      <c r="T23"/>
      <c r="U23"/>
      <c r="V23"/>
      <c r="W23"/>
      <c r="X23"/>
      <c r="Y23"/>
      <c r="Z23"/>
      <c r="AA23"/>
      <c r="AB23"/>
      <c r="AC23"/>
      <c r="AD23"/>
      <c r="AE23"/>
      <c r="AF23"/>
      <c r="AG23"/>
      <c r="AH23"/>
      <c r="AI23"/>
      <c r="AJ23"/>
      <c r="AK23"/>
      <c r="AL23"/>
      <c r="AM23"/>
      <c r="AN23"/>
      <c r="AO23"/>
      <c r="AP23"/>
      <c r="AQ23"/>
    </row>
    <row r="24" spans="1:43" s="18" customFormat="1" ht="22.05" customHeight="1">
      <c r="A24"/>
      <c r="B24" s="15" t="s">
        <v>131</v>
      </c>
      <c r="C24" s="16">
        <v>300</v>
      </c>
      <c r="D24" s="184">
        <f>SUM(【入力様式】パーティールームA!G36,【入力様式】パーティールームA!G55,【入力様式】パーティールームA!G74,【入力様式】パーティールームA!G93,【入力様式】パーティールームA!G112)</f>
        <v>0</v>
      </c>
      <c r="E24" s="6" t="s">
        <v>82</v>
      </c>
      <c r="F24" s="19">
        <f t="shared" si="1"/>
        <v>0</v>
      </c>
      <c r="H24"/>
      <c r="I24"/>
      <c r="J24"/>
      <c r="K24"/>
      <c r="L24"/>
      <c r="M24"/>
      <c r="N24"/>
      <c r="O24"/>
      <c r="P24"/>
      <c r="Q24"/>
      <c r="R24"/>
      <c r="S24"/>
      <c r="T24"/>
      <c r="U24"/>
      <c r="V24"/>
      <c r="W24"/>
      <c r="X24"/>
      <c r="Y24"/>
      <c r="Z24"/>
      <c r="AA24"/>
      <c r="AB24"/>
      <c r="AC24"/>
      <c r="AD24"/>
      <c r="AE24"/>
      <c r="AF24"/>
      <c r="AG24"/>
      <c r="AH24"/>
      <c r="AI24"/>
      <c r="AJ24"/>
      <c r="AK24"/>
      <c r="AL24"/>
      <c r="AM24"/>
      <c r="AN24"/>
      <c r="AO24"/>
      <c r="AP24"/>
      <c r="AQ24"/>
    </row>
    <row r="25" spans="1:43" s="18" customFormat="1" ht="22.05" customHeight="1" thickBot="1">
      <c r="A25"/>
      <c r="B25" s="44" t="s">
        <v>83</v>
      </c>
      <c r="C25" s="16">
        <v>100</v>
      </c>
      <c r="D25" s="184">
        <f>SUM(【入力様式】パーティールームA!G37,【入力様式】パーティールームA!G56,【入力様式】パーティールームA!G75,【入力様式】パーティールームA!G94,【入力様式】パーティールームA!G113)</f>
        <v>0</v>
      </c>
      <c r="E25" s="7" t="s">
        <v>84</v>
      </c>
      <c r="F25" s="19">
        <f t="shared" si="1"/>
        <v>0</v>
      </c>
      <c r="H25"/>
      <c r="I25"/>
      <c r="J25"/>
      <c r="K25"/>
      <c r="L25"/>
      <c r="M25"/>
      <c r="N25"/>
      <c r="O25"/>
      <c r="P25"/>
      <c r="Q25"/>
      <c r="R25"/>
      <c r="S25"/>
      <c r="T25"/>
      <c r="U25"/>
      <c r="V25"/>
      <c r="W25"/>
      <c r="X25"/>
      <c r="Y25"/>
      <c r="Z25"/>
      <c r="AA25"/>
      <c r="AB25"/>
      <c r="AC25"/>
      <c r="AD25"/>
      <c r="AE25"/>
      <c r="AF25"/>
      <c r="AG25"/>
      <c r="AH25"/>
      <c r="AI25"/>
      <c r="AJ25"/>
      <c r="AK25"/>
      <c r="AL25"/>
      <c r="AM25"/>
      <c r="AN25"/>
      <c r="AO25"/>
      <c r="AP25"/>
      <c r="AQ25"/>
    </row>
    <row r="26" spans="1:43" s="18" customFormat="1" ht="22.05" customHeight="1" thickBot="1">
      <c r="A26"/>
      <c r="B26" s="249" t="s">
        <v>120</v>
      </c>
      <c r="C26" s="212"/>
      <c r="D26" s="212"/>
      <c r="E26" s="213"/>
      <c r="F26" s="17">
        <f>SUM(F11:F25)</f>
        <v>0</v>
      </c>
      <c r="H26"/>
      <c r="I26"/>
      <c r="J26"/>
      <c r="K26"/>
      <c r="L26"/>
      <c r="M26"/>
      <c r="N26"/>
      <c r="O26"/>
      <c r="P26"/>
      <c r="Q26"/>
      <c r="R26"/>
      <c r="S26"/>
      <c r="T26"/>
      <c r="U26"/>
      <c r="V26"/>
      <c r="W26"/>
      <c r="X26"/>
      <c r="Y26"/>
      <c r="Z26"/>
      <c r="AA26"/>
      <c r="AB26"/>
      <c r="AC26"/>
      <c r="AD26"/>
      <c r="AE26"/>
      <c r="AF26"/>
      <c r="AG26"/>
      <c r="AH26"/>
      <c r="AI26"/>
      <c r="AJ26"/>
      <c r="AK26"/>
      <c r="AL26"/>
      <c r="AM26"/>
      <c r="AN26"/>
      <c r="AO26"/>
      <c r="AP26"/>
      <c r="AQ26"/>
    </row>
    <row r="27" spans="1:43" s="18" customFormat="1" ht="22.05" customHeight="1" thickBot="1">
      <c r="A27"/>
      <c r="B27"/>
      <c r="C27"/>
      <c r="D27"/>
      <c r="E27"/>
      <c r="F27"/>
      <c r="H27"/>
      <c r="I27"/>
      <c r="J27"/>
      <c r="K27"/>
      <c r="L27"/>
      <c r="M27"/>
      <c r="N27"/>
      <c r="O27"/>
      <c r="P27"/>
      <c r="Q27"/>
      <c r="R27"/>
      <c r="S27"/>
      <c r="T27"/>
      <c r="U27"/>
      <c r="V27"/>
      <c r="W27"/>
      <c r="X27"/>
      <c r="Y27"/>
      <c r="Z27"/>
      <c r="AA27"/>
      <c r="AB27"/>
      <c r="AC27"/>
      <c r="AD27"/>
      <c r="AE27"/>
      <c r="AF27"/>
      <c r="AG27"/>
      <c r="AH27"/>
      <c r="AI27"/>
      <c r="AJ27"/>
      <c r="AK27"/>
      <c r="AL27"/>
      <c r="AM27"/>
      <c r="AN27"/>
      <c r="AO27"/>
      <c r="AP27"/>
      <c r="AQ27"/>
    </row>
    <row r="28" spans="1:43" s="18" customFormat="1" ht="22.05" customHeight="1" thickBot="1">
      <c r="A28"/>
      <c r="B28" s="249" t="s">
        <v>132</v>
      </c>
      <c r="C28" s="212"/>
      <c r="D28" s="212"/>
      <c r="E28" s="213"/>
      <c r="F28" s="17">
        <f>SUM(F26,D8)</f>
        <v>0</v>
      </c>
      <c r="H28"/>
      <c r="I28"/>
      <c r="J28"/>
      <c r="K28"/>
      <c r="L28"/>
      <c r="M28"/>
      <c r="N28"/>
      <c r="O28"/>
      <c r="P28"/>
      <c r="Q28"/>
      <c r="R28"/>
      <c r="S28"/>
      <c r="T28"/>
      <c r="U28"/>
      <c r="V28"/>
      <c r="W28"/>
      <c r="X28"/>
      <c r="Y28"/>
      <c r="Z28"/>
      <c r="AA28"/>
      <c r="AB28"/>
      <c r="AC28"/>
      <c r="AD28"/>
      <c r="AE28"/>
      <c r="AF28"/>
      <c r="AG28"/>
      <c r="AH28"/>
      <c r="AI28"/>
      <c r="AJ28"/>
      <c r="AK28"/>
      <c r="AL28"/>
      <c r="AM28"/>
      <c r="AN28"/>
      <c r="AO28"/>
      <c r="AP28"/>
      <c r="AQ28"/>
    </row>
    <row r="29" spans="1:43" s="18" customFormat="1" ht="22.05" customHeight="1">
      <c r="A29"/>
      <c r="B29"/>
      <c r="C29"/>
      <c r="D29"/>
      <c r="E29"/>
      <c r="F29"/>
      <c r="H29"/>
      <c r="I29"/>
      <c r="J29"/>
      <c r="K29"/>
      <c r="L29"/>
      <c r="M29"/>
      <c r="N29"/>
      <c r="O29"/>
      <c r="P29"/>
      <c r="Q29"/>
      <c r="R29"/>
      <c r="S29"/>
      <c r="T29"/>
      <c r="U29"/>
      <c r="V29"/>
      <c r="W29"/>
      <c r="X29"/>
      <c r="Y29"/>
      <c r="Z29"/>
      <c r="AA29"/>
      <c r="AB29"/>
      <c r="AC29"/>
      <c r="AD29"/>
      <c r="AE29"/>
      <c r="AF29"/>
      <c r="AG29"/>
      <c r="AH29"/>
      <c r="AI29"/>
      <c r="AJ29"/>
      <c r="AK29"/>
      <c r="AL29"/>
      <c r="AM29"/>
      <c r="AN29"/>
      <c r="AO29"/>
      <c r="AP29"/>
      <c r="AQ29"/>
    </row>
    <row r="30" spans="1:43" s="18" customFormat="1" ht="22.05" customHeight="1">
      <c r="A30"/>
      <c r="B30"/>
      <c r="C30"/>
      <c r="D30"/>
      <c r="E30"/>
      <c r="F30"/>
      <c r="H30"/>
      <c r="I30"/>
      <c r="J30"/>
      <c r="K30"/>
      <c r="L30"/>
      <c r="M30"/>
      <c r="N30"/>
      <c r="O30"/>
      <c r="P30"/>
      <c r="Q30"/>
      <c r="R30"/>
      <c r="S30"/>
      <c r="T30"/>
      <c r="U30"/>
      <c r="V30"/>
      <c r="W30"/>
      <c r="X30"/>
      <c r="Y30"/>
      <c r="Z30"/>
      <c r="AA30"/>
      <c r="AB30"/>
      <c r="AC30"/>
      <c r="AD30"/>
      <c r="AE30"/>
      <c r="AF30"/>
      <c r="AG30"/>
      <c r="AH30"/>
      <c r="AI30"/>
      <c r="AJ30"/>
      <c r="AK30"/>
      <c r="AL30"/>
      <c r="AM30"/>
      <c r="AN30"/>
      <c r="AO30"/>
      <c r="AP30"/>
      <c r="AQ30"/>
    </row>
    <row r="31" spans="1:43" s="18" customFormat="1" ht="22.05" customHeight="1">
      <c r="A31"/>
      <c r="B31"/>
      <c r="C31"/>
      <c r="D31"/>
      <c r="E31"/>
      <c r="F31"/>
      <c r="H31"/>
      <c r="I31"/>
      <c r="J31"/>
      <c r="K31"/>
      <c r="L31"/>
      <c r="M31"/>
      <c r="N31"/>
      <c r="O31"/>
      <c r="P31"/>
      <c r="Q31"/>
      <c r="R31"/>
      <c r="S31"/>
      <c r="T31"/>
      <c r="U31"/>
      <c r="V31"/>
      <c r="W31"/>
      <c r="X31"/>
      <c r="Y31"/>
      <c r="Z31"/>
      <c r="AA31"/>
      <c r="AB31"/>
      <c r="AC31"/>
      <c r="AD31"/>
      <c r="AE31"/>
      <c r="AF31"/>
      <c r="AG31"/>
      <c r="AH31"/>
      <c r="AI31"/>
      <c r="AJ31"/>
      <c r="AK31"/>
      <c r="AL31"/>
      <c r="AM31"/>
      <c r="AN31"/>
      <c r="AO31"/>
      <c r="AP31"/>
      <c r="AQ31"/>
    </row>
    <row r="32" spans="1:43" s="18" customFormat="1" ht="22.05" customHeight="1">
      <c r="A32"/>
      <c r="B32"/>
      <c r="C32"/>
      <c r="D32"/>
      <c r="E32"/>
      <c r="F32"/>
      <c r="H32"/>
      <c r="I32"/>
      <c r="J32"/>
      <c r="K32"/>
      <c r="L32"/>
      <c r="M32"/>
      <c r="N32"/>
      <c r="O32"/>
      <c r="P32"/>
      <c r="Q32"/>
      <c r="R32"/>
      <c r="S32"/>
      <c r="T32"/>
      <c r="U32"/>
      <c r="V32"/>
      <c r="W32"/>
      <c r="X32"/>
      <c r="Y32"/>
      <c r="Z32"/>
      <c r="AA32"/>
      <c r="AB32"/>
      <c r="AC32"/>
      <c r="AD32"/>
      <c r="AE32"/>
      <c r="AF32"/>
      <c r="AG32"/>
      <c r="AH32"/>
      <c r="AI32"/>
      <c r="AJ32"/>
      <c r="AK32"/>
      <c r="AL32"/>
      <c r="AM32"/>
      <c r="AN32"/>
      <c r="AO32"/>
      <c r="AP32"/>
      <c r="AQ32"/>
    </row>
    <row r="33" spans="1:43" s="18" customFormat="1" ht="22.05" customHeight="1">
      <c r="A33"/>
      <c r="B33"/>
      <c r="C33"/>
      <c r="D33"/>
      <c r="E33"/>
      <c r="F33"/>
      <c r="H33"/>
      <c r="I33"/>
      <c r="J33"/>
      <c r="K33"/>
      <c r="L33"/>
      <c r="M33"/>
      <c r="N33"/>
      <c r="O33"/>
      <c r="P33"/>
      <c r="Q33"/>
      <c r="R33"/>
      <c r="S33"/>
      <c r="T33"/>
      <c r="U33"/>
      <c r="V33"/>
      <c r="W33"/>
      <c r="X33"/>
      <c r="Y33"/>
      <c r="Z33"/>
      <c r="AA33"/>
      <c r="AB33"/>
      <c r="AC33"/>
      <c r="AD33"/>
      <c r="AE33"/>
      <c r="AF33"/>
      <c r="AG33"/>
      <c r="AH33"/>
      <c r="AI33"/>
      <c r="AJ33"/>
      <c r="AK33"/>
      <c r="AL33"/>
      <c r="AM33"/>
      <c r="AN33"/>
      <c r="AO33"/>
      <c r="AP33"/>
      <c r="AQ33"/>
    </row>
    <row r="34" spans="1:43" s="18" customFormat="1" ht="22.05" customHeight="1">
      <c r="A34"/>
      <c r="B34"/>
      <c r="C34"/>
      <c r="D34"/>
      <c r="E34"/>
      <c r="F34"/>
      <c r="H34"/>
      <c r="I34"/>
      <c r="J34"/>
      <c r="K34"/>
      <c r="L34"/>
      <c r="M34"/>
      <c r="N34"/>
      <c r="O34"/>
      <c r="P34"/>
      <c r="Q34"/>
      <c r="R34"/>
      <c r="S34"/>
      <c r="T34"/>
      <c r="U34"/>
      <c r="V34"/>
      <c r="W34"/>
      <c r="X34"/>
      <c r="Y34"/>
      <c r="Z34"/>
      <c r="AA34"/>
      <c r="AB34"/>
      <c r="AC34"/>
      <c r="AD34"/>
      <c r="AE34"/>
      <c r="AF34"/>
      <c r="AG34"/>
      <c r="AH34"/>
      <c r="AI34"/>
      <c r="AJ34"/>
      <c r="AK34"/>
      <c r="AL34"/>
      <c r="AM34"/>
      <c r="AN34"/>
      <c r="AO34"/>
      <c r="AP34"/>
      <c r="AQ34"/>
    </row>
    <row r="44" spans="1:43" ht="22.05" customHeight="1">
      <c r="Q44" s="18"/>
      <c r="R44" s="18"/>
      <c r="S44" s="18"/>
    </row>
  </sheetData>
  <mergeCells count="4">
    <mergeCell ref="B26:E26"/>
    <mergeCell ref="B28:E28"/>
    <mergeCell ref="B8:C8"/>
    <mergeCell ref="D2:E2"/>
  </mergeCells>
  <phoneticPr fontId="2"/>
  <conditionalFormatting sqref="B3">
    <cfRule type="expression" dxfId="59" priority="11">
      <formula>$B$3=DATE(1900,1,0)</formula>
    </cfRule>
  </conditionalFormatting>
  <conditionalFormatting sqref="B4">
    <cfRule type="expression" dxfId="58" priority="15">
      <formula>$B$4=DATE(1900,1,0)</formula>
    </cfRule>
  </conditionalFormatting>
  <conditionalFormatting sqref="B5">
    <cfRule type="expression" dxfId="57" priority="12">
      <formula>$B$5=DATE(1900,1,0)</formula>
    </cfRule>
  </conditionalFormatting>
  <conditionalFormatting sqref="B6">
    <cfRule type="expression" dxfId="56" priority="13">
      <formula>$B$6=DATE(1900,1,0)</formula>
    </cfRule>
  </conditionalFormatting>
  <conditionalFormatting sqref="B7">
    <cfRule type="expression" dxfId="55" priority="14">
      <formula>$B$7=DATE(1900,1,0)</formula>
    </cfRule>
  </conditionalFormatting>
  <conditionalFormatting sqref="C3">
    <cfRule type="expression" dxfId="54" priority="10">
      <formula>$C$3=0</formula>
    </cfRule>
  </conditionalFormatting>
  <conditionalFormatting sqref="C4:C7">
    <cfRule type="expression" dxfId="53" priority="6">
      <formula>$C$4=0</formula>
    </cfRule>
  </conditionalFormatting>
  <conditionalFormatting sqref="D3">
    <cfRule type="expression" dxfId="52" priority="5">
      <formula>$D$3=0</formula>
    </cfRule>
  </conditionalFormatting>
  <conditionalFormatting sqref="D4">
    <cfRule type="expression" dxfId="51" priority="1">
      <formula>$D$4=0</formula>
    </cfRule>
  </conditionalFormatting>
  <conditionalFormatting sqref="D5">
    <cfRule type="expression" dxfId="50" priority="2">
      <formula>$D$5=0</formula>
    </cfRule>
  </conditionalFormatting>
  <conditionalFormatting sqref="D6">
    <cfRule type="expression" dxfId="49" priority="3">
      <formula>$D$6=0</formula>
    </cfRule>
  </conditionalFormatting>
  <conditionalFormatting sqref="D7">
    <cfRule type="expression" dxfId="48" priority="4">
      <formula>$D$7=0</formula>
    </cfRule>
  </conditionalFormatting>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EAF7-96E7-43B4-9DD8-26010E94ABC0}">
  <sheetPr codeName="Sheet11">
    <tabColor theme="8" tint="0.59999389629810485"/>
  </sheetPr>
  <dimension ref="A1:K31"/>
  <sheetViews>
    <sheetView view="pageBreakPreview" zoomScale="85" zoomScaleNormal="55" zoomScaleSheetLayoutView="85" workbookViewId="0">
      <selection activeCell="C3" sqref="C3:G3"/>
    </sheetView>
  </sheetViews>
  <sheetFormatPr defaultColWidth="8.19921875" defaultRowHeight="20.100000000000001" customHeight="1"/>
  <cols>
    <col min="1" max="2" width="3.19921875" style="53" customWidth="1"/>
    <col min="3" max="3" width="18.796875" style="53" customWidth="1"/>
    <col min="4" max="4" width="6.796875" style="53" customWidth="1"/>
    <col min="5" max="5" width="5.09765625" style="53" customWidth="1"/>
    <col min="6" max="6" width="6.796875" style="53" customWidth="1"/>
    <col min="7" max="7" width="2.296875" style="53" customWidth="1"/>
    <col min="8" max="8" width="6.796875" style="53" customWidth="1"/>
    <col min="9" max="9" width="5.09765625" style="53" customWidth="1"/>
    <col min="10" max="10" width="8.69921875" style="53" customWidth="1"/>
    <col min="11" max="11" width="11.5" style="53" customWidth="1"/>
    <col min="12" max="16384" width="8.19921875" style="53"/>
  </cols>
  <sheetData>
    <row r="1" spans="1:11" ht="20.100000000000001" customHeight="1">
      <c r="J1" s="240">
        <v>45931</v>
      </c>
      <c r="K1" s="240"/>
    </row>
    <row r="2" spans="1:11" ht="25.05" customHeight="1">
      <c r="A2" s="241" t="s">
        <v>89</v>
      </c>
      <c r="B2" s="241"/>
      <c r="C2" s="241"/>
      <c r="D2" s="241"/>
      <c r="E2" s="241"/>
      <c r="F2" s="241"/>
      <c r="G2" s="241"/>
      <c r="H2" s="241"/>
      <c r="I2" s="241"/>
      <c r="J2" s="241"/>
      <c r="K2" s="241"/>
    </row>
    <row r="3" spans="1:11" ht="25.05" customHeight="1">
      <c r="B3" s="54"/>
      <c r="C3" s="242" t="str">
        <f>【入力様式】パーティールームA!C3</f>
        <v>■■■■株式会社</v>
      </c>
      <c r="D3" s="242"/>
      <c r="E3" s="242"/>
      <c r="F3" s="242"/>
      <c r="G3" s="242"/>
      <c r="H3" s="55" t="s">
        <v>90</v>
      </c>
      <c r="I3" s="56"/>
      <c r="J3" s="56"/>
      <c r="K3" s="56"/>
    </row>
    <row r="4" spans="1:11" ht="50.1" customHeight="1" thickBot="1"/>
    <row r="5" spans="1:11" ht="25.05" customHeight="1" thickBot="1">
      <c r="B5" s="57"/>
      <c r="C5" s="58" t="s">
        <v>91</v>
      </c>
      <c r="D5" s="243">
        <f>'【営利用】様式第4号(許可書) )※入力不要'!B29</f>
        <v>0</v>
      </c>
      <c r="E5" s="244"/>
      <c r="F5" s="245"/>
      <c r="G5" s="59" t="s">
        <v>92</v>
      </c>
      <c r="H5" s="60"/>
    </row>
    <row r="6" spans="1:11" ht="3" customHeight="1">
      <c r="B6" s="56"/>
      <c r="C6" s="61"/>
      <c r="D6" s="62"/>
      <c r="E6" s="62"/>
      <c r="F6" s="62"/>
      <c r="G6" s="62"/>
    </row>
    <row r="7" spans="1:11" ht="25.05" customHeight="1">
      <c r="B7" s="63"/>
      <c r="C7" s="64" t="s">
        <v>93</v>
      </c>
      <c r="D7" s="246"/>
      <c r="E7" s="247"/>
      <c r="F7" s="248"/>
      <c r="G7" s="65"/>
    </row>
    <row r="8" spans="1:11" ht="30" customHeight="1">
      <c r="B8" s="66"/>
      <c r="C8" s="66"/>
    </row>
    <row r="9" spans="1:11" ht="25.05" customHeight="1">
      <c r="B9" s="63"/>
      <c r="C9" s="147" t="s">
        <v>94</v>
      </c>
      <c r="D9" s="234">
        <f>【入力様式】パーティールームA!C12</f>
        <v>0</v>
      </c>
      <c r="E9" s="235"/>
      <c r="F9" s="235"/>
      <c r="G9" s="236" t="s">
        <v>95</v>
      </c>
      <c r="H9" s="236"/>
      <c r="I9" s="235">
        <f>【入力様式】パーティールームA!C13</f>
        <v>0</v>
      </c>
      <c r="J9" s="235"/>
      <c r="K9" s="148" t="s">
        <v>96</v>
      </c>
    </row>
    <row r="10" spans="1:11" ht="25.05" customHeight="1">
      <c r="B10" s="63"/>
      <c r="C10" s="64" t="s">
        <v>97</v>
      </c>
      <c r="D10" s="230" t="str">
        <f>【入力様式】パーティールームA!C10</f>
        <v>●●イベント</v>
      </c>
      <c r="E10" s="230"/>
      <c r="F10" s="230"/>
      <c r="G10" s="230"/>
      <c r="H10" s="230"/>
      <c r="I10" s="230"/>
      <c r="J10" s="230"/>
      <c r="K10" s="230"/>
    </row>
    <row r="11" spans="1:11" ht="10.050000000000001" customHeight="1"/>
    <row r="12" spans="1:11" ht="25.05" customHeight="1">
      <c r="B12" s="67" t="s">
        <v>98</v>
      </c>
      <c r="C12" s="67" t="s">
        <v>99</v>
      </c>
      <c r="D12" s="231" t="s">
        <v>94</v>
      </c>
      <c r="E12" s="232"/>
      <c r="F12" s="231" t="s">
        <v>100</v>
      </c>
      <c r="G12" s="233"/>
      <c r="H12" s="232"/>
      <c r="I12" s="67" t="s">
        <v>101</v>
      </c>
      <c r="J12" s="67" t="s">
        <v>102</v>
      </c>
      <c r="K12" s="67" t="s">
        <v>103</v>
      </c>
    </row>
    <row r="13" spans="1:11" ht="25.05" customHeight="1">
      <c r="B13" s="68">
        <v>1</v>
      </c>
      <c r="C13" s="237" t="s">
        <v>104</v>
      </c>
      <c r="D13" s="238"/>
      <c r="E13" s="238"/>
      <c r="F13" s="238"/>
      <c r="G13" s="238"/>
      <c r="H13" s="238"/>
      <c r="I13" s="238"/>
      <c r="J13" s="238"/>
      <c r="K13" s="239"/>
    </row>
    <row r="14" spans="1:11" ht="25.05" customHeight="1">
      <c r="B14" s="69">
        <v>2</v>
      </c>
      <c r="C14" s="70"/>
      <c r="D14" s="71"/>
      <c r="E14" s="72"/>
      <c r="F14" s="227"/>
      <c r="G14" s="228"/>
      <c r="H14" s="229"/>
      <c r="I14" s="73"/>
      <c r="J14" s="74"/>
      <c r="K14" s="75"/>
    </row>
    <row r="15" spans="1:11" ht="25.05" customHeight="1">
      <c r="B15" s="69">
        <v>3</v>
      </c>
      <c r="C15" s="70"/>
      <c r="D15" s="71"/>
      <c r="E15" s="72"/>
      <c r="F15" s="227"/>
      <c r="G15" s="228"/>
      <c r="H15" s="229"/>
      <c r="I15" s="73"/>
      <c r="J15" s="74"/>
      <c r="K15" s="75"/>
    </row>
    <row r="16" spans="1:11" ht="25.05" customHeight="1">
      <c r="B16" s="69">
        <v>4</v>
      </c>
      <c r="C16" s="70"/>
      <c r="D16" s="71"/>
      <c r="E16" s="72"/>
      <c r="F16" s="227"/>
      <c r="G16" s="228"/>
      <c r="H16" s="229"/>
      <c r="I16" s="73"/>
      <c r="J16" s="74"/>
      <c r="K16" s="75"/>
    </row>
    <row r="17" spans="2:11" ht="25.05" customHeight="1">
      <c r="B17" s="69">
        <v>5</v>
      </c>
      <c r="C17" s="70"/>
      <c r="D17" s="71"/>
      <c r="E17" s="72"/>
      <c r="F17" s="227"/>
      <c r="G17" s="228"/>
      <c r="H17" s="229"/>
      <c r="I17" s="73"/>
      <c r="J17" s="74"/>
      <c r="K17" s="75"/>
    </row>
    <row r="18" spans="2:11" ht="25.05" customHeight="1">
      <c r="B18" s="69">
        <v>6</v>
      </c>
      <c r="C18" s="70"/>
      <c r="D18" s="71"/>
      <c r="E18" s="72"/>
      <c r="F18" s="227"/>
      <c r="G18" s="228"/>
      <c r="H18" s="229"/>
      <c r="I18" s="73"/>
      <c r="J18" s="74"/>
      <c r="K18" s="75"/>
    </row>
    <row r="19" spans="2:11" ht="25.05" customHeight="1">
      <c r="B19" s="69">
        <v>7</v>
      </c>
      <c r="C19" s="70"/>
      <c r="D19" s="71"/>
      <c r="E19" s="72"/>
      <c r="F19" s="227"/>
      <c r="G19" s="228"/>
      <c r="H19" s="229"/>
      <c r="I19" s="73"/>
      <c r="J19" s="74"/>
      <c r="K19" s="75"/>
    </row>
    <row r="20" spans="2:11" ht="25.05" customHeight="1">
      <c r="B20" s="69">
        <v>8</v>
      </c>
      <c r="C20" s="70"/>
      <c r="D20" s="71"/>
      <c r="E20" s="72"/>
      <c r="F20" s="227"/>
      <c r="G20" s="228"/>
      <c r="H20" s="229"/>
      <c r="I20" s="73"/>
      <c r="J20" s="74"/>
      <c r="K20" s="75"/>
    </row>
    <row r="21" spans="2:11" ht="25.05" customHeight="1">
      <c r="B21" s="69">
        <v>9</v>
      </c>
      <c r="C21" s="70"/>
      <c r="D21" s="71"/>
      <c r="E21" s="72"/>
      <c r="F21" s="227"/>
      <c r="G21" s="228"/>
      <c r="H21" s="229"/>
      <c r="I21" s="73"/>
      <c r="J21" s="74"/>
      <c r="K21" s="75"/>
    </row>
    <row r="22" spans="2:11" ht="25.05" customHeight="1" thickBot="1">
      <c r="B22" s="56" t="s">
        <v>105</v>
      </c>
      <c r="C22" s="77"/>
      <c r="D22" s="78"/>
      <c r="E22" s="79"/>
      <c r="F22" s="80"/>
      <c r="G22" s="81"/>
      <c r="H22" s="82"/>
      <c r="I22" s="83" t="s">
        <v>106</v>
      </c>
      <c r="J22" s="84"/>
      <c r="K22" s="85">
        <f>D5</f>
        <v>0</v>
      </c>
    </row>
    <row r="23" spans="2:11" ht="25.05" customHeight="1">
      <c r="B23" s="86"/>
      <c r="C23" s="87"/>
      <c r="D23" s="88"/>
      <c r="E23" s="89"/>
      <c r="F23" s="80"/>
      <c r="G23" s="90"/>
      <c r="H23" s="91" t="s">
        <v>107</v>
      </c>
      <c r="I23" s="92"/>
      <c r="J23" s="93">
        <v>0.1</v>
      </c>
      <c r="K23" s="76">
        <f>ROUNDDOWN($K$22/(1+$J$23)*$J$23,0)</f>
        <v>0</v>
      </c>
    </row>
    <row r="24" spans="2:11" ht="25.05" customHeight="1">
      <c r="B24" s="86"/>
      <c r="C24" s="94"/>
      <c r="D24" s="95"/>
      <c r="E24" s="96"/>
      <c r="F24" s="56"/>
      <c r="G24" s="97"/>
      <c r="H24" s="98" t="s">
        <v>107</v>
      </c>
      <c r="I24" s="99"/>
      <c r="J24" s="100">
        <v>0.08</v>
      </c>
      <c r="K24" s="76"/>
    </row>
    <row r="25" spans="2:11" ht="10.050000000000001" customHeight="1" thickBot="1">
      <c r="C25" s="101"/>
      <c r="D25" s="102"/>
      <c r="E25" s="103"/>
      <c r="G25" s="104"/>
    </row>
    <row r="26" spans="2:11" ht="22.05" customHeight="1">
      <c r="E26" s="105" t="s">
        <v>108</v>
      </c>
      <c r="G26" s="56"/>
    </row>
    <row r="27" spans="2:11" ht="15" customHeight="1">
      <c r="B27" s="106" t="s">
        <v>109</v>
      </c>
      <c r="C27" s="54"/>
      <c r="D27" s="106"/>
      <c r="E27" s="106"/>
      <c r="F27" s="106"/>
      <c r="G27" s="54"/>
      <c r="H27" s="106"/>
      <c r="I27" s="54"/>
      <c r="J27" s="106"/>
      <c r="K27" s="106"/>
    </row>
    <row r="28" spans="2:11" ht="15" customHeight="1">
      <c r="B28" s="107" t="s">
        <v>110</v>
      </c>
      <c r="C28" s="108" t="s">
        <v>111</v>
      </c>
      <c r="G28" s="56"/>
      <c r="I28" s="109"/>
      <c r="K28" s="110"/>
    </row>
    <row r="29" spans="2:11" ht="15" customHeight="1">
      <c r="B29" s="107" t="s">
        <v>110</v>
      </c>
      <c r="C29" s="108" t="s">
        <v>112</v>
      </c>
      <c r="G29" s="56"/>
      <c r="I29" s="109"/>
      <c r="K29" s="110"/>
    </row>
    <row r="30" spans="2:11" ht="15" customHeight="1">
      <c r="B30" s="107" t="s">
        <v>110</v>
      </c>
      <c r="C30" s="108" t="s">
        <v>113</v>
      </c>
      <c r="G30" s="56"/>
      <c r="I30" s="56"/>
      <c r="K30" s="110"/>
    </row>
    <row r="31" spans="2:11" ht="15" customHeight="1">
      <c r="B31" s="111" t="s">
        <v>110</v>
      </c>
      <c r="C31" s="112" t="s">
        <v>114</v>
      </c>
      <c r="D31" s="106"/>
      <c r="E31" s="106"/>
      <c r="F31" s="106"/>
      <c r="G31" s="113"/>
      <c r="H31" s="106"/>
      <c r="I31" s="106"/>
      <c r="J31" s="106"/>
      <c r="K31" s="114"/>
    </row>
  </sheetData>
  <sheetProtection algorithmName="SHA-512" hashValue="udkbkQNBu1m2JIeVEsQnHMo5sk8XUp0NoO9WjO5O1kfak9ax78bhz3vZempPPqmUkWQwUw13BUPCLyDkd1mHyQ==" saltValue="Re+MRcRgAuOjb04Rpxx+Yg==" spinCount="100000" sheet="1"/>
  <mergeCells count="20">
    <mergeCell ref="D9:F9"/>
    <mergeCell ref="G9:H9"/>
    <mergeCell ref="I9:J9"/>
    <mergeCell ref="J1:K1"/>
    <mergeCell ref="A2:K2"/>
    <mergeCell ref="C3:G3"/>
    <mergeCell ref="D5:F5"/>
    <mergeCell ref="D7:F7"/>
    <mergeCell ref="F21:H21"/>
    <mergeCell ref="D10:K10"/>
    <mergeCell ref="D12:E12"/>
    <mergeCell ref="F12:H12"/>
    <mergeCell ref="C13:K13"/>
    <mergeCell ref="F14:H14"/>
    <mergeCell ref="F15:H15"/>
    <mergeCell ref="F16:H16"/>
    <mergeCell ref="F17:H17"/>
    <mergeCell ref="F18:H18"/>
    <mergeCell ref="F19:H19"/>
    <mergeCell ref="F20:H20"/>
  </mergeCells>
  <phoneticPr fontId="2"/>
  <conditionalFormatting sqref="D9:F9">
    <cfRule type="expression" dxfId="47" priority="2">
      <formula>$D$9=DATE(1900,1,0)</formula>
    </cfRule>
  </conditionalFormatting>
  <conditionalFormatting sqref="I9:J9">
    <cfRule type="expression" dxfId="46" priority="1">
      <formula>$I$9=DATE(1900,1,0)</formula>
    </cfRule>
  </conditionalFormatting>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73EC5-CFF6-43B3-820D-3EB791C15FA3}">
  <sheetPr>
    <tabColor theme="8" tint="0.59999389629810485"/>
    <pageSetUpPr fitToPage="1"/>
  </sheetPr>
  <dimension ref="A1:AQ44"/>
  <sheetViews>
    <sheetView showGridLines="0" view="pageBreakPreview" topLeftCell="A13" zoomScale="70" zoomScaleNormal="100" zoomScaleSheetLayoutView="70" workbookViewId="0">
      <selection activeCell="F27" sqref="F27"/>
    </sheetView>
  </sheetViews>
  <sheetFormatPr defaultColWidth="7.296875" defaultRowHeight="22.05" customHeight="1"/>
  <cols>
    <col min="1" max="1" width="3.69921875" customWidth="1"/>
    <col min="2" max="2" width="33.296875" bestFit="1" customWidth="1"/>
    <col min="3" max="3" width="13.296875" customWidth="1"/>
    <col min="4" max="4" width="14.296875" customWidth="1"/>
    <col min="5" max="5" width="11.09765625" customWidth="1"/>
    <col min="6" max="6" width="10.69921875" bestFit="1" customWidth="1"/>
    <col min="7" max="7" width="4.09765625" style="18" customWidth="1"/>
    <col min="8" max="8" width="9.59765625" bestFit="1" customWidth="1"/>
    <col min="9" max="9" width="21.5" customWidth="1"/>
    <col min="10" max="10" width="20.296875" customWidth="1"/>
  </cols>
  <sheetData>
    <row r="1" spans="1:43" ht="22.05" customHeight="1">
      <c r="B1" t="s">
        <v>115</v>
      </c>
    </row>
    <row r="2" spans="1:43" ht="22.05" customHeight="1">
      <c r="B2" s="47" t="s">
        <v>116</v>
      </c>
      <c r="C2" s="52" t="s">
        <v>117</v>
      </c>
      <c r="D2" s="250" t="s">
        <v>118</v>
      </c>
      <c r="E2" s="251"/>
      <c r="F2" s="18"/>
      <c r="G2"/>
    </row>
    <row r="3" spans="1:43" ht="22.05" customHeight="1">
      <c r="B3" s="149">
        <f>【入力様式】パーティールームA!C21</f>
        <v>0</v>
      </c>
      <c r="C3" s="171">
        <f>【入力様式】パーティールームA!C22</f>
        <v>0</v>
      </c>
      <c r="D3" s="46">
        <f>【入力様式】パーティールームA!O23</f>
        <v>0</v>
      </c>
      <c r="E3" s="42" t="s">
        <v>119</v>
      </c>
      <c r="F3" s="18"/>
      <c r="G3"/>
    </row>
    <row r="4" spans="1:43" s="18" customFormat="1" ht="22.05" customHeight="1">
      <c r="A4"/>
      <c r="B4" s="150">
        <f>【入力様式】パーティールームA!C40</f>
        <v>0</v>
      </c>
      <c r="C4" s="32">
        <f>【入力様式】パーティールームA!C41</f>
        <v>0</v>
      </c>
      <c r="D4" s="151">
        <f>【入力様式】パーティールームA!O42</f>
        <v>0</v>
      </c>
      <c r="E4" s="145" t="s">
        <v>119</v>
      </c>
      <c r="G4"/>
      <c r="H4"/>
      <c r="I4"/>
      <c r="J4"/>
      <c r="K4"/>
      <c r="L4"/>
      <c r="M4"/>
      <c r="N4"/>
      <c r="O4"/>
      <c r="P4"/>
      <c r="Q4"/>
      <c r="R4"/>
      <c r="S4"/>
      <c r="T4"/>
      <c r="U4"/>
      <c r="V4"/>
      <c r="W4"/>
      <c r="X4"/>
      <c r="Y4"/>
      <c r="Z4"/>
      <c r="AA4"/>
      <c r="AB4"/>
      <c r="AC4"/>
      <c r="AD4"/>
      <c r="AE4"/>
      <c r="AF4"/>
      <c r="AG4"/>
      <c r="AH4"/>
      <c r="AI4"/>
      <c r="AJ4"/>
      <c r="AK4"/>
      <c r="AL4"/>
      <c r="AM4"/>
      <c r="AN4"/>
      <c r="AO4"/>
      <c r="AP4"/>
    </row>
    <row r="5" spans="1:43" s="18" customFormat="1" ht="22.05" customHeight="1">
      <c r="A5"/>
      <c r="B5" s="149">
        <f>【入力様式】パーティールームA!C59</f>
        <v>0</v>
      </c>
      <c r="C5" s="32">
        <f>【入力様式】パーティールームA!C60</f>
        <v>0</v>
      </c>
      <c r="D5" s="49">
        <f>【入力様式】パーティールームA!O61</f>
        <v>0</v>
      </c>
      <c r="E5" s="42" t="s">
        <v>119</v>
      </c>
      <c r="G5"/>
      <c r="H5"/>
      <c r="I5"/>
      <c r="J5"/>
      <c r="K5"/>
      <c r="L5"/>
      <c r="M5"/>
      <c r="N5"/>
      <c r="O5"/>
      <c r="P5"/>
      <c r="Q5"/>
      <c r="R5"/>
      <c r="S5"/>
      <c r="T5"/>
      <c r="U5"/>
      <c r="V5"/>
      <c r="W5"/>
      <c r="X5"/>
      <c r="Y5"/>
      <c r="Z5"/>
      <c r="AA5"/>
      <c r="AB5"/>
      <c r="AC5"/>
      <c r="AD5"/>
      <c r="AE5"/>
      <c r="AF5"/>
      <c r="AG5"/>
      <c r="AH5"/>
      <c r="AI5"/>
      <c r="AJ5"/>
      <c r="AK5"/>
      <c r="AL5"/>
      <c r="AM5"/>
      <c r="AN5"/>
      <c r="AO5"/>
      <c r="AP5"/>
    </row>
    <row r="6" spans="1:43" s="18" customFormat="1" ht="22.05" customHeight="1">
      <c r="A6"/>
      <c r="B6" s="150">
        <f>【入力様式】パーティールームA!C78</f>
        <v>0</v>
      </c>
      <c r="C6" s="32">
        <f>【入力様式】パーティールームA!C79</f>
        <v>0</v>
      </c>
      <c r="D6" s="151">
        <f>【入力様式】パーティールームA!O80</f>
        <v>0</v>
      </c>
      <c r="E6" s="145" t="s">
        <v>119</v>
      </c>
      <c r="G6"/>
      <c r="H6"/>
      <c r="I6"/>
      <c r="J6"/>
      <c r="K6"/>
      <c r="L6"/>
      <c r="M6"/>
      <c r="N6"/>
      <c r="O6"/>
      <c r="P6"/>
      <c r="Q6"/>
      <c r="R6"/>
      <c r="S6"/>
      <c r="T6"/>
      <c r="U6"/>
      <c r="V6"/>
      <c r="W6"/>
      <c r="X6"/>
      <c r="Y6"/>
      <c r="Z6"/>
      <c r="AA6"/>
      <c r="AB6"/>
      <c r="AC6"/>
      <c r="AD6"/>
      <c r="AE6"/>
      <c r="AF6"/>
      <c r="AG6"/>
      <c r="AH6"/>
      <c r="AI6"/>
      <c r="AJ6"/>
      <c r="AK6"/>
      <c r="AL6"/>
      <c r="AM6"/>
      <c r="AN6"/>
      <c r="AO6"/>
      <c r="AP6"/>
    </row>
    <row r="7" spans="1:43" s="18" customFormat="1" ht="22.05" customHeight="1" thickBot="1">
      <c r="A7"/>
      <c r="B7" s="149">
        <f>【入力様式】パーティールームA!C97</f>
        <v>0</v>
      </c>
      <c r="C7" s="32">
        <f>【入力様式】パーティールームA!C98</f>
        <v>0</v>
      </c>
      <c r="D7" s="49">
        <f>【入力様式】パーティールームA!O99</f>
        <v>0</v>
      </c>
      <c r="E7" s="42" t="s">
        <v>119</v>
      </c>
      <c r="G7"/>
      <c r="H7"/>
      <c r="I7"/>
      <c r="J7"/>
      <c r="K7"/>
      <c r="L7"/>
      <c r="M7"/>
      <c r="N7"/>
      <c r="O7"/>
      <c r="P7"/>
      <c r="Q7"/>
      <c r="R7"/>
      <c r="S7"/>
      <c r="T7"/>
      <c r="U7"/>
      <c r="V7"/>
      <c r="W7"/>
      <c r="X7"/>
      <c r="Y7"/>
      <c r="Z7"/>
      <c r="AA7"/>
      <c r="AB7"/>
      <c r="AC7"/>
      <c r="AD7"/>
      <c r="AE7"/>
      <c r="AF7"/>
      <c r="AG7"/>
      <c r="AH7"/>
      <c r="AI7"/>
      <c r="AJ7"/>
      <c r="AK7"/>
      <c r="AL7"/>
      <c r="AM7"/>
      <c r="AN7"/>
      <c r="AO7"/>
      <c r="AP7"/>
    </row>
    <row r="8" spans="1:43" s="18" customFormat="1" ht="22.05" customHeight="1" thickBot="1">
      <c r="A8"/>
      <c r="B8" s="249" t="s">
        <v>120</v>
      </c>
      <c r="C8" s="213"/>
      <c r="D8" s="152">
        <f>SUM(D3,D4,D5,D6,D7)</f>
        <v>0</v>
      </c>
      <c r="E8" s="153" t="s">
        <v>119</v>
      </c>
      <c r="G8"/>
      <c r="H8"/>
      <c r="I8"/>
      <c r="J8"/>
      <c r="K8"/>
      <c r="L8"/>
      <c r="M8"/>
      <c r="N8"/>
      <c r="O8"/>
      <c r="P8"/>
      <c r="Q8"/>
      <c r="R8"/>
      <c r="S8"/>
      <c r="T8"/>
      <c r="U8"/>
      <c r="V8"/>
      <c r="W8"/>
      <c r="X8"/>
      <c r="Y8"/>
      <c r="Z8"/>
      <c r="AA8"/>
      <c r="AB8"/>
      <c r="AC8"/>
      <c r="AD8"/>
      <c r="AE8"/>
      <c r="AF8"/>
      <c r="AG8"/>
      <c r="AH8"/>
      <c r="AI8"/>
      <c r="AJ8"/>
      <c r="AK8"/>
      <c r="AL8"/>
      <c r="AM8"/>
      <c r="AN8"/>
      <c r="AO8"/>
      <c r="AP8"/>
    </row>
    <row r="10" spans="1:43" s="18" customFormat="1" ht="22.05" customHeight="1">
      <c r="A10"/>
      <c r="B10" s="47" t="s">
        <v>121</v>
      </c>
      <c r="C10" s="47" t="s">
        <v>122</v>
      </c>
      <c r="D10" s="47" t="s">
        <v>123</v>
      </c>
      <c r="E10" s="47" t="s">
        <v>124</v>
      </c>
      <c r="F10" s="48" t="s">
        <v>125</v>
      </c>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3" s="18" customFormat="1" ht="22.05" customHeight="1">
      <c r="A11"/>
      <c r="B11" s="15" t="s">
        <v>66</v>
      </c>
      <c r="C11" s="16">
        <v>1000</v>
      </c>
      <c r="D11" s="45">
        <f>SUM(【入力様式】パーティールームA!D28,【入力様式】パーティールームA!D47,【入力様式】パーティールームA!D66,【入力様式】パーティールームA!D85,【入力様式】パーティールームA!D104)</f>
        <v>0</v>
      </c>
      <c r="E11" s="6" t="s">
        <v>67</v>
      </c>
      <c r="F11" s="19">
        <f>C11*D11</f>
        <v>0</v>
      </c>
      <c r="H11"/>
      <c r="I11"/>
      <c r="J11"/>
      <c r="K11"/>
      <c r="L11"/>
      <c r="M11"/>
      <c r="N11"/>
      <c r="O11"/>
      <c r="P11"/>
      <c r="Q11"/>
      <c r="R11"/>
      <c r="S11"/>
      <c r="T11"/>
      <c r="U11"/>
      <c r="V11"/>
      <c r="W11"/>
      <c r="X11"/>
      <c r="Y11"/>
      <c r="Z11"/>
      <c r="AA11"/>
      <c r="AB11"/>
      <c r="AC11"/>
      <c r="AD11"/>
      <c r="AE11"/>
      <c r="AF11"/>
      <c r="AG11"/>
      <c r="AH11"/>
      <c r="AI11"/>
      <c r="AJ11"/>
      <c r="AK11"/>
      <c r="AL11"/>
      <c r="AM11"/>
      <c r="AN11"/>
      <c r="AO11"/>
      <c r="AP11"/>
      <c r="AQ11"/>
    </row>
    <row r="12" spans="1:43" s="18" customFormat="1" ht="22.05" customHeight="1">
      <c r="A12"/>
      <c r="B12" s="15" t="s">
        <v>69</v>
      </c>
      <c r="C12" s="16">
        <v>1000</v>
      </c>
      <c r="D12" s="45">
        <f>SUM(【入力様式】パーティールームA!D29,【入力様式】パーティールームA!D48,【入力様式】パーティールームA!D67,【入力様式】パーティールームA!D86,【入力様式】パーティールームA!D105)</f>
        <v>0</v>
      </c>
      <c r="E12" s="6" t="s">
        <v>70</v>
      </c>
      <c r="F12" s="19">
        <f>C12*D12</f>
        <v>0</v>
      </c>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pans="1:43" s="18" customFormat="1" ht="22.05" customHeight="1">
      <c r="A13"/>
      <c r="B13" s="186" t="s">
        <v>232</v>
      </c>
      <c r="C13" s="188">
        <v>1000</v>
      </c>
      <c r="D13" s="181">
        <f>SUM(【入力様式】パーティールームA!D30,【入力様式】パーティールームA!D49,【入力様式】パーティールームA!D68,【入力様式】パーティールームA!D87,【入力様式】パーティールームA!D106)</f>
        <v>0</v>
      </c>
      <c r="E13" s="187" t="s">
        <v>271</v>
      </c>
      <c r="F13" s="182">
        <f t="shared" ref="F13:F15" si="0">C13*D13</f>
        <v>0</v>
      </c>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pans="1:43" s="18" customFormat="1" ht="22.05" customHeight="1">
      <c r="A14"/>
      <c r="B14" s="186" t="s">
        <v>234</v>
      </c>
      <c r="C14" s="188">
        <v>1000</v>
      </c>
      <c r="D14" s="181">
        <f>SUM(【入力様式】パーティールームA!D31,【入力様式】パーティールームA!D50,【入力様式】パーティールームA!D69,【入力様式】パーティールームA!D88,【入力様式】パーティールームA!D107)</f>
        <v>0</v>
      </c>
      <c r="E14" s="187" t="s">
        <v>67</v>
      </c>
      <c r="F14" s="182">
        <f t="shared" si="0"/>
        <v>0</v>
      </c>
      <c r="H14"/>
      <c r="I14"/>
      <c r="J14"/>
      <c r="K14"/>
      <c r="L14"/>
      <c r="M14"/>
      <c r="N14"/>
      <c r="O14"/>
      <c r="P14"/>
      <c r="Q14"/>
      <c r="R14"/>
      <c r="S14"/>
      <c r="T14"/>
      <c r="U14"/>
      <c r="V14"/>
      <c r="W14"/>
      <c r="X14"/>
      <c r="Y14"/>
      <c r="Z14"/>
      <c r="AA14"/>
      <c r="AB14"/>
      <c r="AC14"/>
      <c r="AD14"/>
      <c r="AE14"/>
      <c r="AF14"/>
      <c r="AG14"/>
      <c r="AH14"/>
      <c r="AI14"/>
      <c r="AJ14"/>
      <c r="AK14"/>
      <c r="AL14"/>
      <c r="AM14"/>
      <c r="AN14"/>
      <c r="AO14"/>
      <c r="AP14"/>
      <c r="AQ14"/>
    </row>
    <row r="15" spans="1:43" s="18" customFormat="1" ht="22.05" customHeight="1">
      <c r="A15"/>
      <c r="B15" s="15" t="s">
        <v>77</v>
      </c>
      <c r="C15" s="16">
        <v>1000</v>
      </c>
      <c r="D15" s="45">
        <f>SUM(【入力様式】パーティールームA!D32,【入力様式】パーティールームA!D51,【入力様式】パーティールームA!D70,【入力様式】パーティールームA!D89,【入力様式】パーティールームA!D108)</f>
        <v>0</v>
      </c>
      <c r="E15" s="6" t="s">
        <v>67</v>
      </c>
      <c r="F15" s="19">
        <f t="shared" si="0"/>
        <v>0</v>
      </c>
      <c r="H15"/>
      <c r="I15"/>
      <c r="J15"/>
      <c r="K15"/>
      <c r="L15"/>
      <c r="M15"/>
      <c r="N15"/>
      <c r="O15"/>
      <c r="P15"/>
      <c r="Q15"/>
      <c r="R15"/>
      <c r="S15"/>
      <c r="T15"/>
      <c r="U15"/>
      <c r="V15"/>
      <c r="W15"/>
      <c r="X15"/>
      <c r="Y15"/>
      <c r="Z15"/>
      <c r="AA15"/>
      <c r="AB15"/>
      <c r="AC15"/>
      <c r="AD15"/>
      <c r="AE15"/>
      <c r="AF15"/>
      <c r="AG15"/>
      <c r="AH15"/>
      <c r="AI15"/>
      <c r="AJ15"/>
      <c r="AK15"/>
      <c r="AL15"/>
      <c r="AM15"/>
      <c r="AN15"/>
      <c r="AO15"/>
      <c r="AP15"/>
      <c r="AQ15"/>
    </row>
    <row r="16" spans="1:43" s="18" customFormat="1" ht="22.05" customHeight="1">
      <c r="A16"/>
      <c r="B16" s="183" t="s">
        <v>126</v>
      </c>
      <c r="C16" s="16">
        <v>50</v>
      </c>
      <c r="D16" s="184">
        <f>SUM(【入力様式】パーティールームA!G28,【入力様式】パーティールームA!G47,【入力様式】パーティールームA!G66,【入力様式】パーティールームA!G85,【入力様式】パーティールームA!G104)</f>
        <v>0</v>
      </c>
      <c r="E16" s="9" t="s">
        <v>68</v>
      </c>
      <c r="F16" s="185">
        <f>C16*D16</f>
        <v>0</v>
      </c>
      <c r="H16"/>
      <c r="I16"/>
      <c r="J16"/>
      <c r="K16"/>
      <c r="L16"/>
      <c r="M16"/>
      <c r="N16"/>
      <c r="O16"/>
      <c r="P16"/>
      <c r="Q16"/>
      <c r="R16"/>
      <c r="S16"/>
      <c r="T16"/>
      <c r="U16"/>
      <c r="V16"/>
      <c r="W16"/>
      <c r="X16"/>
      <c r="Y16"/>
      <c r="Z16"/>
      <c r="AA16"/>
      <c r="AB16"/>
      <c r="AC16"/>
      <c r="AD16"/>
      <c r="AE16"/>
      <c r="AF16"/>
      <c r="AG16"/>
      <c r="AH16"/>
      <c r="AI16"/>
      <c r="AJ16"/>
      <c r="AK16"/>
      <c r="AL16"/>
      <c r="AM16"/>
      <c r="AN16"/>
      <c r="AO16"/>
      <c r="AP16"/>
      <c r="AQ16"/>
    </row>
    <row r="17" spans="1:43" s="18" customFormat="1" ht="22.05" customHeight="1">
      <c r="A17"/>
      <c r="B17" s="15" t="s">
        <v>127</v>
      </c>
      <c r="C17" s="16">
        <v>100</v>
      </c>
      <c r="D17" s="184">
        <f>SUM(【入力様式】パーティールームA!G29,【入力様式】パーティールームA!G48,【入力様式】パーティールームA!G67,【入力様式】パーティールームA!G86,【入力様式】パーティールームA!G105)</f>
        <v>0</v>
      </c>
      <c r="E17" s="6" t="s">
        <v>71</v>
      </c>
      <c r="F17" s="19">
        <f t="shared" ref="F17:F25" si="1">C17*D17</f>
        <v>0</v>
      </c>
      <c r="H17"/>
      <c r="I17"/>
      <c r="J17"/>
      <c r="K17"/>
      <c r="L17"/>
      <c r="M17"/>
      <c r="N17"/>
      <c r="O17"/>
      <c r="P17"/>
      <c r="Q17"/>
      <c r="R17"/>
      <c r="S17"/>
      <c r="T17"/>
      <c r="U17"/>
      <c r="V17"/>
      <c r="W17"/>
      <c r="X17"/>
      <c r="Y17"/>
      <c r="Z17"/>
      <c r="AA17"/>
      <c r="AB17"/>
      <c r="AC17"/>
      <c r="AD17"/>
      <c r="AE17"/>
      <c r="AF17"/>
      <c r="AG17"/>
      <c r="AH17"/>
      <c r="AI17"/>
      <c r="AJ17"/>
      <c r="AK17"/>
      <c r="AL17"/>
      <c r="AM17"/>
      <c r="AN17"/>
      <c r="AO17"/>
      <c r="AP17"/>
      <c r="AQ17"/>
    </row>
    <row r="18" spans="1:43" s="18" customFormat="1" ht="22.05" customHeight="1">
      <c r="A18"/>
      <c r="B18" s="15" t="s">
        <v>128</v>
      </c>
      <c r="C18" s="16">
        <v>100</v>
      </c>
      <c r="D18" s="184">
        <f>SUM(【入力様式】パーティールームA!G30,【入力様式】パーティールームA!G49,【入力様式】パーティールームA!G68,【入力様式】パーティールームA!G87,【入力様式】パーティールームA!G106)</f>
        <v>0</v>
      </c>
      <c r="E18" s="6" t="s">
        <v>74</v>
      </c>
      <c r="F18" s="19">
        <f t="shared" si="1"/>
        <v>0</v>
      </c>
      <c r="H18"/>
      <c r="I18"/>
      <c r="J18"/>
      <c r="K18"/>
      <c r="L18"/>
      <c r="M18"/>
      <c r="N18"/>
      <c r="O18"/>
      <c r="P18"/>
      <c r="Q18"/>
      <c r="R18"/>
      <c r="S18"/>
      <c r="T18"/>
      <c r="U18"/>
      <c r="V18"/>
      <c r="W18"/>
      <c r="X18"/>
      <c r="Y18"/>
      <c r="Z18"/>
      <c r="AA18"/>
      <c r="AB18"/>
      <c r="AC18"/>
      <c r="AD18"/>
      <c r="AE18"/>
      <c r="AF18"/>
      <c r="AG18"/>
      <c r="AH18"/>
      <c r="AI18"/>
      <c r="AJ18"/>
      <c r="AK18"/>
      <c r="AL18"/>
      <c r="AM18"/>
      <c r="AN18"/>
      <c r="AO18"/>
      <c r="AP18"/>
      <c r="AQ18"/>
    </row>
    <row r="19" spans="1:43" s="18" customFormat="1" ht="22.05" customHeight="1">
      <c r="A19"/>
      <c r="B19" s="15" t="s">
        <v>129</v>
      </c>
      <c r="C19" s="16">
        <v>300</v>
      </c>
      <c r="D19" s="184">
        <f>SUM(【入力様式】パーティールームA!G31,【入力様式】パーティールームA!G50,【入力様式】パーティールームA!G69,【入力様式】パーティールームA!G88,【入力様式】パーティールームA!G107)</f>
        <v>0</v>
      </c>
      <c r="E19" s="6" t="s">
        <v>71</v>
      </c>
      <c r="F19" s="19">
        <f t="shared" si="1"/>
        <v>0</v>
      </c>
      <c r="H19"/>
      <c r="I19"/>
      <c r="J19"/>
      <c r="K19"/>
      <c r="L19"/>
      <c r="M19"/>
      <c r="N19"/>
      <c r="O19"/>
      <c r="P19"/>
      <c r="Q19"/>
      <c r="R19"/>
      <c r="S19"/>
      <c r="T19"/>
      <c r="U19"/>
      <c r="V19"/>
      <c r="W19"/>
      <c r="X19"/>
      <c r="Y19"/>
      <c r="Z19"/>
      <c r="AA19"/>
      <c r="AB19"/>
      <c r="AC19"/>
      <c r="AD19"/>
      <c r="AE19"/>
      <c r="AF19"/>
      <c r="AG19"/>
      <c r="AH19"/>
      <c r="AI19"/>
      <c r="AJ19"/>
      <c r="AK19"/>
      <c r="AL19"/>
      <c r="AM19"/>
      <c r="AN19"/>
      <c r="AO19"/>
      <c r="AP19"/>
      <c r="AQ19"/>
    </row>
    <row r="20" spans="1:43" s="18" customFormat="1" ht="22.05" customHeight="1">
      <c r="A20"/>
      <c r="B20" s="15" t="s">
        <v>78</v>
      </c>
      <c r="C20" s="16">
        <v>2500</v>
      </c>
      <c r="D20" s="184">
        <f>SUM(【入力様式】パーティールームA!G32,【入力様式】パーティールームA!G51,【入力様式】パーティールームA!G70,【入力様式】パーティールームA!G89,【入力様式】パーティールームA!G108)</f>
        <v>0</v>
      </c>
      <c r="E20" s="6" t="s">
        <v>71</v>
      </c>
      <c r="F20" s="19">
        <f t="shared" si="1"/>
        <v>0</v>
      </c>
      <c r="H20"/>
      <c r="I20"/>
      <c r="J20"/>
      <c r="K20"/>
      <c r="L20"/>
      <c r="M20"/>
      <c r="N20"/>
      <c r="O20"/>
      <c r="P20"/>
      <c r="Q20"/>
      <c r="R20"/>
      <c r="S20"/>
      <c r="T20"/>
      <c r="U20"/>
      <c r="V20"/>
      <c r="W20"/>
      <c r="X20"/>
      <c r="Y20"/>
      <c r="Z20"/>
      <c r="AA20"/>
      <c r="AB20"/>
      <c r="AC20"/>
      <c r="AD20"/>
      <c r="AE20"/>
      <c r="AF20"/>
      <c r="AG20"/>
      <c r="AH20"/>
      <c r="AI20"/>
      <c r="AJ20"/>
      <c r="AK20"/>
      <c r="AL20"/>
      <c r="AM20"/>
      <c r="AN20"/>
      <c r="AO20"/>
      <c r="AP20"/>
      <c r="AQ20"/>
    </row>
    <row r="21" spans="1:43" s="18" customFormat="1" ht="22.05" customHeight="1">
      <c r="A21"/>
      <c r="B21" s="15" t="s">
        <v>130</v>
      </c>
      <c r="C21" s="16">
        <v>1000</v>
      </c>
      <c r="D21" s="184">
        <f>SUM(【入力様式】パーティールームA!G33,【入力様式】パーティールームA!G52,【入力様式】パーティールームA!G71,【入力様式】パーティールームA!G90,【入力様式】パーティールームA!G109)</f>
        <v>0</v>
      </c>
      <c r="E21" s="6" t="s">
        <v>71</v>
      </c>
      <c r="F21" s="19">
        <f t="shared" si="1"/>
        <v>0</v>
      </c>
      <c r="H21"/>
      <c r="I21"/>
      <c r="J21"/>
      <c r="K21"/>
      <c r="L21"/>
      <c r="M21"/>
      <c r="N21"/>
      <c r="O21"/>
      <c r="P21"/>
      <c r="Q21"/>
      <c r="R21"/>
      <c r="S21"/>
      <c r="T21"/>
      <c r="U21"/>
      <c r="V21"/>
      <c r="W21"/>
      <c r="X21"/>
      <c r="Y21"/>
      <c r="Z21"/>
      <c r="AA21"/>
      <c r="AB21"/>
      <c r="AC21"/>
      <c r="AD21"/>
      <c r="AE21"/>
      <c r="AF21"/>
      <c r="AG21"/>
      <c r="AH21"/>
      <c r="AI21"/>
      <c r="AJ21"/>
      <c r="AK21"/>
      <c r="AL21"/>
      <c r="AM21"/>
      <c r="AN21"/>
      <c r="AO21"/>
      <c r="AP21"/>
      <c r="AQ21"/>
    </row>
    <row r="22" spans="1:43" s="18" customFormat="1" ht="22.05" customHeight="1">
      <c r="A22"/>
      <c r="B22" s="15" t="s">
        <v>269</v>
      </c>
      <c r="C22" s="16">
        <v>100</v>
      </c>
      <c r="D22" s="184">
        <f>SUM(【入力様式】パーティールームA!G34,【入力様式】パーティールームA!G53,【入力様式】パーティールームA!G72,【入力様式】パーティールームA!G91,【入力様式】パーティールームA!G110)</f>
        <v>0</v>
      </c>
      <c r="E22" s="6" t="s">
        <v>80</v>
      </c>
      <c r="F22" s="19">
        <f t="shared" si="1"/>
        <v>0</v>
      </c>
      <c r="H22"/>
      <c r="I22"/>
      <c r="J22"/>
      <c r="K22"/>
      <c r="L22"/>
      <c r="M22"/>
      <c r="N22"/>
      <c r="O22"/>
      <c r="P22"/>
      <c r="Q22"/>
      <c r="R22"/>
      <c r="S22"/>
      <c r="T22"/>
      <c r="U22"/>
      <c r="V22"/>
      <c r="W22"/>
      <c r="X22"/>
      <c r="Y22"/>
      <c r="Z22"/>
      <c r="AA22"/>
      <c r="AB22"/>
      <c r="AC22"/>
      <c r="AD22"/>
      <c r="AE22"/>
      <c r="AF22"/>
      <c r="AG22"/>
      <c r="AH22"/>
      <c r="AI22"/>
      <c r="AJ22"/>
      <c r="AK22"/>
      <c r="AL22"/>
      <c r="AM22"/>
      <c r="AN22"/>
      <c r="AO22"/>
      <c r="AP22"/>
      <c r="AQ22"/>
    </row>
    <row r="23" spans="1:43" s="18" customFormat="1" ht="22.05" customHeight="1">
      <c r="A23"/>
      <c r="B23" s="15" t="s">
        <v>270</v>
      </c>
      <c r="C23" s="16">
        <v>100</v>
      </c>
      <c r="D23" s="184">
        <f>SUM(【入力様式】パーティールームA!G35,【入力様式】パーティールームA!G54,【入力様式】パーティールームA!G73,【入力様式】パーティールームA!G92,【入力様式】パーティールームA!G111)</f>
        <v>0</v>
      </c>
      <c r="E23" s="6" t="s">
        <v>80</v>
      </c>
      <c r="F23" s="19">
        <f t="shared" si="1"/>
        <v>0</v>
      </c>
      <c r="H23"/>
      <c r="I23"/>
      <c r="J23"/>
      <c r="K23"/>
      <c r="L23"/>
      <c r="M23"/>
      <c r="N23"/>
      <c r="O23"/>
      <c r="P23"/>
      <c r="Q23"/>
      <c r="R23"/>
      <c r="S23"/>
      <c r="T23"/>
      <c r="U23"/>
      <c r="V23"/>
      <c r="W23"/>
      <c r="X23"/>
      <c r="Y23"/>
      <c r="Z23"/>
      <c r="AA23"/>
      <c r="AB23"/>
      <c r="AC23"/>
      <c r="AD23"/>
      <c r="AE23"/>
      <c r="AF23"/>
      <c r="AG23"/>
      <c r="AH23"/>
      <c r="AI23"/>
      <c r="AJ23"/>
      <c r="AK23"/>
      <c r="AL23"/>
      <c r="AM23"/>
      <c r="AN23"/>
      <c r="AO23"/>
      <c r="AP23"/>
      <c r="AQ23"/>
    </row>
    <row r="24" spans="1:43" s="18" customFormat="1" ht="22.05" customHeight="1">
      <c r="A24"/>
      <c r="B24" s="15" t="s">
        <v>131</v>
      </c>
      <c r="C24" s="16">
        <v>300</v>
      </c>
      <c r="D24" s="184">
        <f>SUM(【入力様式】パーティールームA!G36,【入力様式】パーティールームA!G55,【入力様式】パーティールームA!G74,【入力様式】パーティールームA!G93,【入力様式】パーティールームA!G112)</f>
        <v>0</v>
      </c>
      <c r="E24" s="6" t="s">
        <v>82</v>
      </c>
      <c r="F24" s="19">
        <f t="shared" si="1"/>
        <v>0</v>
      </c>
      <c r="H24"/>
      <c r="I24"/>
      <c r="J24"/>
      <c r="K24"/>
      <c r="L24"/>
      <c r="M24"/>
      <c r="N24"/>
      <c r="O24"/>
      <c r="P24"/>
      <c r="Q24"/>
      <c r="R24"/>
      <c r="S24"/>
      <c r="T24"/>
      <c r="U24"/>
      <c r="V24"/>
      <c r="W24"/>
      <c r="X24"/>
      <c r="Y24"/>
      <c r="Z24"/>
      <c r="AA24"/>
      <c r="AB24"/>
      <c r="AC24"/>
      <c r="AD24"/>
      <c r="AE24"/>
      <c r="AF24"/>
      <c r="AG24"/>
      <c r="AH24"/>
      <c r="AI24"/>
      <c r="AJ24"/>
      <c r="AK24"/>
      <c r="AL24"/>
      <c r="AM24"/>
      <c r="AN24"/>
      <c r="AO24"/>
      <c r="AP24"/>
      <c r="AQ24"/>
    </row>
    <row r="25" spans="1:43" s="18" customFormat="1" ht="22.05" customHeight="1" thickBot="1">
      <c r="A25"/>
      <c r="B25" s="44" t="s">
        <v>83</v>
      </c>
      <c r="C25" s="16">
        <v>100</v>
      </c>
      <c r="D25" s="184">
        <f>SUM(【入力様式】パーティールームA!G37,【入力様式】パーティールームA!G56,【入力様式】パーティールームA!G75,【入力様式】パーティールームA!G94,【入力様式】パーティールームA!G113)</f>
        <v>0</v>
      </c>
      <c r="E25" s="7" t="s">
        <v>84</v>
      </c>
      <c r="F25" s="19">
        <f t="shared" si="1"/>
        <v>0</v>
      </c>
      <c r="H25"/>
      <c r="I25"/>
      <c r="J25"/>
      <c r="K25"/>
      <c r="L25"/>
      <c r="M25"/>
      <c r="N25"/>
      <c r="O25"/>
      <c r="P25"/>
      <c r="Q25"/>
      <c r="R25"/>
      <c r="S25"/>
      <c r="T25"/>
      <c r="U25"/>
      <c r="V25"/>
      <c r="W25"/>
      <c r="X25"/>
      <c r="Y25"/>
      <c r="Z25"/>
      <c r="AA25"/>
      <c r="AB25"/>
      <c r="AC25"/>
      <c r="AD25"/>
      <c r="AE25"/>
      <c r="AF25"/>
      <c r="AG25"/>
      <c r="AH25"/>
      <c r="AI25"/>
      <c r="AJ25"/>
      <c r="AK25"/>
      <c r="AL25"/>
      <c r="AM25"/>
      <c r="AN25"/>
      <c r="AO25"/>
      <c r="AP25"/>
      <c r="AQ25"/>
    </row>
    <row r="26" spans="1:43" s="18" customFormat="1" ht="22.05" customHeight="1" thickBot="1">
      <c r="A26"/>
      <c r="B26" s="249" t="s">
        <v>120</v>
      </c>
      <c r="C26" s="212"/>
      <c r="D26" s="212"/>
      <c r="E26" s="213"/>
      <c r="F26" s="17">
        <f>SUM(F11:F25)</f>
        <v>0</v>
      </c>
      <c r="H26"/>
      <c r="I26"/>
      <c r="J26"/>
      <c r="K26"/>
      <c r="L26"/>
      <c r="M26"/>
      <c r="N26"/>
      <c r="O26"/>
      <c r="P26"/>
      <c r="Q26"/>
      <c r="R26"/>
      <c r="S26"/>
      <c r="T26"/>
      <c r="U26"/>
      <c r="V26"/>
      <c r="W26"/>
      <c r="X26"/>
      <c r="Y26"/>
      <c r="Z26"/>
      <c r="AA26"/>
      <c r="AB26"/>
      <c r="AC26"/>
      <c r="AD26"/>
      <c r="AE26"/>
      <c r="AF26"/>
      <c r="AG26"/>
      <c r="AH26"/>
      <c r="AI26"/>
      <c r="AJ26"/>
      <c r="AK26"/>
      <c r="AL26"/>
      <c r="AM26"/>
      <c r="AN26"/>
      <c r="AO26"/>
      <c r="AP26"/>
      <c r="AQ26"/>
    </row>
    <row r="27" spans="1:43" s="18" customFormat="1" ht="22.05" customHeight="1" thickBot="1">
      <c r="A27"/>
      <c r="B27"/>
      <c r="C27"/>
      <c r="D27"/>
      <c r="E27"/>
      <c r="F27"/>
      <c r="H27"/>
      <c r="I27"/>
      <c r="J27"/>
      <c r="K27"/>
      <c r="L27"/>
      <c r="M27"/>
      <c r="N27"/>
      <c r="O27"/>
      <c r="P27"/>
      <c r="Q27"/>
      <c r="R27"/>
      <c r="S27"/>
      <c r="T27"/>
      <c r="U27"/>
      <c r="V27"/>
      <c r="W27"/>
      <c r="X27"/>
      <c r="Y27"/>
      <c r="Z27"/>
      <c r="AA27"/>
      <c r="AB27"/>
      <c r="AC27"/>
      <c r="AD27"/>
      <c r="AE27"/>
      <c r="AF27"/>
      <c r="AG27"/>
      <c r="AH27"/>
      <c r="AI27"/>
      <c r="AJ27"/>
      <c r="AK27"/>
      <c r="AL27"/>
      <c r="AM27"/>
      <c r="AN27"/>
      <c r="AO27"/>
      <c r="AP27"/>
      <c r="AQ27"/>
    </row>
    <row r="28" spans="1:43" s="18" customFormat="1" ht="22.05" customHeight="1" thickBot="1">
      <c r="A28"/>
      <c r="B28" s="249" t="s">
        <v>132</v>
      </c>
      <c r="C28" s="212"/>
      <c r="D28" s="212"/>
      <c r="E28" s="213"/>
      <c r="F28" s="17">
        <f>SUM(F26,D8)</f>
        <v>0</v>
      </c>
      <c r="H28"/>
      <c r="I28"/>
      <c r="J28"/>
      <c r="K28"/>
      <c r="L28"/>
      <c r="M28"/>
      <c r="N28"/>
      <c r="O28"/>
      <c r="P28"/>
      <c r="Q28"/>
      <c r="R28"/>
      <c r="S28"/>
      <c r="T28"/>
      <c r="U28"/>
      <c r="V28"/>
      <c r="W28"/>
      <c r="X28"/>
      <c r="Y28"/>
      <c r="Z28"/>
      <c r="AA28"/>
      <c r="AB28"/>
      <c r="AC28"/>
      <c r="AD28"/>
      <c r="AE28"/>
      <c r="AF28"/>
      <c r="AG28"/>
      <c r="AH28"/>
      <c r="AI28"/>
      <c r="AJ28"/>
      <c r="AK28"/>
      <c r="AL28"/>
      <c r="AM28"/>
      <c r="AN28"/>
      <c r="AO28"/>
      <c r="AP28"/>
      <c r="AQ28"/>
    </row>
    <row r="29" spans="1:43" s="18" customFormat="1" ht="22.05" customHeight="1">
      <c r="A29"/>
      <c r="B29"/>
      <c r="C29"/>
      <c r="D29"/>
      <c r="E29"/>
      <c r="F29"/>
      <c r="H29"/>
      <c r="I29"/>
      <c r="J29"/>
      <c r="K29"/>
      <c r="L29"/>
      <c r="M29"/>
      <c r="N29"/>
      <c r="O29"/>
      <c r="P29"/>
      <c r="Q29"/>
      <c r="R29"/>
      <c r="S29"/>
      <c r="T29"/>
      <c r="U29"/>
      <c r="V29"/>
      <c r="W29"/>
      <c r="X29"/>
      <c r="Y29"/>
      <c r="Z29"/>
      <c r="AA29"/>
      <c r="AB29"/>
      <c r="AC29"/>
      <c r="AD29"/>
      <c r="AE29"/>
      <c r="AF29"/>
      <c r="AG29"/>
      <c r="AH29"/>
      <c r="AI29"/>
      <c r="AJ29"/>
      <c r="AK29"/>
      <c r="AL29"/>
      <c r="AM29"/>
      <c r="AN29"/>
      <c r="AO29"/>
      <c r="AP29"/>
      <c r="AQ29"/>
    </row>
    <row r="30" spans="1:43" s="18" customFormat="1" ht="22.05" customHeight="1">
      <c r="A30"/>
      <c r="B30"/>
      <c r="C30"/>
      <c r="D30"/>
      <c r="E30"/>
      <c r="F30"/>
      <c r="H30"/>
      <c r="I30"/>
      <c r="J30"/>
      <c r="K30"/>
      <c r="L30"/>
      <c r="M30"/>
      <c r="N30"/>
      <c r="O30"/>
      <c r="P30"/>
      <c r="Q30"/>
      <c r="R30"/>
      <c r="S30"/>
      <c r="T30"/>
      <c r="U30"/>
      <c r="V30"/>
      <c r="W30"/>
      <c r="X30"/>
      <c r="Y30"/>
      <c r="Z30"/>
      <c r="AA30"/>
      <c r="AB30"/>
      <c r="AC30"/>
      <c r="AD30"/>
      <c r="AE30"/>
      <c r="AF30"/>
      <c r="AG30"/>
      <c r="AH30"/>
      <c r="AI30"/>
      <c r="AJ30"/>
      <c r="AK30"/>
      <c r="AL30"/>
      <c r="AM30"/>
      <c r="AN30"/>
      <c r="AO30"/>
      <c r="AP30"/>
      <c r="AQ30"/>
    </row>
    <row r="31" spans="1:43" s="18" customFormat="1" ht="22.05" customHeight="1">
      <c r="A31"/>
      <c r="B31"/>
      <c r="C31"/>
      <c r="D31"/>
      <c r="E31"/>
      <c r="F31"/>
      <c r="H31"/>
      <c r="I31"/>
      <c r="J31"/>
      <c r="K31"/>
      <c r="L31"/>
      <c r="M31"/>
      <c r="N31"/>
      <c r="O31"/>
      <c r="P31"/>
      <c r="Q31"/>
      <c r="R31"/>
      <c r="S31"/>
      <c r="T31"/>
      <c r="U31"/>
      <c r="V31"/>
      <c r="W31"/>
      <c r="X31"/>
      <c r="Y31"/>
      <c r="Z31"/>
      <c r="AA31"/>
      <c r="AB31"/>
      <c r="AC31"/>
      <c r="AD31"/>
      <c r="AE31"/>
      <c r="AF31"/>
      <c r="AG31"/>
      <c r="AH31"/>
      <c r="AI31"/>
      <c r="AJ31"/>
      <c r="AK31"/>
      <c r="AL31"/>
      <c r="AM31"/>
      <c r="AN31"/>
      <c r="AO31"/>
      <c r="AP31"/>
      <c r="AQ31"/>
    </row>
    <row r="32" spans="1:43" s="18" customFormat="1" ht="22.05" customHeight="1">
      <c r="A32"/>
      <c r="B32"/>
      <c r="C32"/>
      <c r="D32"/>
      <c r="E32"/>
      <c r="F32"/>
      <c r="H32"/>
      <c r="I32"/>
      <c r="J32"/>
      <c r="K32"/>
      <c r="L32"/>
      <c r="M32"/>
      <c r="N32"/>
      <c r="O32"/>
      <c r="P32"/>
      <c r="Q32"/>
      <c r="R32"/>
      <c r="S32"/>
      <c r="T32"/>
      <c r="U32"/>
      <c r="V32"/>
      <c r="W32"/>
      <c r="X32"/>
      <c r="Y32"/>
      <c r="Z32"/>
      <c r="AA32"/>
      <c r="AB32"/>
      <c r="AC32"/>
      <c r="AD32"/>
      <c r="AE32"/>
      <c r="AF32"/>
      <c r="AG32"/>
      <c r="AH32"/>
      <c r="AI32"/>
      <c r="AJ32"/>
      <c r="AK32"/>
      <c r="AL32"/>
      <c r="AM32"/>
      <c r="AN32"/>
      <c r="AO32"/>
      <c r="AP32"/>
      <c r="AQ32"/>
    </row>
    <row r="33" spans="1:43" s="18" customFormat="1" ht="22.05" customHeight="1">
      <c r="A33"/>
      <c r="B33"/>
      <c r="C33"/>
      <c r="D33"/>
      <c r="E33"/>
      <c r="F33"/>
      <c r="H33"/>
      <c r="I33"/>
      <c r="J33"/>
      <c r="K33"/>
      <c r="L33"/>
      <c r="M33"/>
      <c r="N33"/>
      <c r="O33"/>
      <c r="P33"/>
      <c r="Q33"/>
      <c r="R33"/>
      <c r="S33"/>
      <c r="T33"/>
      <c r="U33"/>
      <c r="V33"/>
      <c r="W33"/>
      <c r="X33"/>
      <c r="Y33"/>
      <c r="Z33"/>
      <c r="AA33"/>
      <c r="AB33"/>
      <c r="AC33"/>
      <c r="AD33"/>
      <c r="AE33"/>
      <c r="AF33"/>
      <c r="AG33"/>
      <c r="AH33"/>
      <c r="AI33"/>
      <c r="AJ33"/>
      <c r="AK33"/>
      <c r="AL33"/>
      <c r="AM33"/>
      <c r="AN33"/>
      <c r="AO33"/>
      <c r="AP33"/>
      <c r="AQ33"/>
    </row>
    <row r="34" spans="1:43" s="18" customFormat="1" ht="22.05" customHeight="1">
      <c r="A34"/>
      <c r="B34"/>
      <c r="C34"/>
      <c r="D34"/>
      <c r="E34"/>
      <c r="F34"/>
      <c r="H34"/>
      <c r="I34"/>
      <c r="J34"/>
      <c r="K34"/>
      <c r="L34"/>
      <c r="M34"/>
      <c r="N34"/>
      <c r="O34"/>
      <c r="P34"/>
      <c r="Q34"/>
      <c r="R34"/>
      <c r="S34"/>
      <c r="T34"/>
      <c r="U34"/>
      <c r="V34"/>
      <c r="W34"/>
      <c r="X34"/>
      <c r="Y34"/>
      <c r="Z34"/>
      <c r="AA34"/>
      <c r="AB34"/>
      <c r="AC34"/>
      <c r="AD34"/>
      <c r="AE34"/>
      <c r="AF34"/>
      <c r="AG34"/>
      <c r="AH34"/>
      <c r="AI34"/>
      <c r="AJ34"/>
      <c r="AK34"/>
      <c r="AL34"/>
      <c r="AM34"/>
      <c r="AN34"/>
      <c r="AO34"/>
      <c r="AP34"/>
      <c r="AQ34"/>
    </row>
    <row r="44" spans="1:43" ht="22.05" customHeight="1">
      <c r="Q44" s="18"/>
      <c r="R44" s="18"/>
      <c r="S44" s="18"/>
    </row>
  </sheetData>
  <mergeCells count="4">
    <mergeCell ref="D2:E2"/>
    <mergeCell ref="B8:C8"/>
    <mergeCell ref="B26:E26"/>
    <mergeCell ref="B28:E28"/>
  </mergeCells>
  <phoneticPr fontId="2"/>
  <conditionalFormatting sqref="B3">
    <cfRule type="expression" dxfId="45" priority="8">
      <formula>$B$3=DATE(1900,1,0)</formula>
    </cfRule>
  </conditionalFormatting>
  <conditionalFormatting sqref="B4">
    <cfRule type="expression" dxfId="44" priority="12">
      <formula>$B$4=DATE(1900,1,0)</formula>
    </cfRule>
  </conditionalFormatting>
  <conditionalFormatting sqref="B5">
    <cfRule type="expression" dxfId="43" priority="9">
      <formula>$B$5=DATE(1900,1,0)</formula>
    </cfRule>
  </conditionalFormatting>
  <conditionalFormatting sqref="B6">
    <cfRule type="expression" dxfId="42" priority="10">
      <formula>$B$6=DATE(1900,1,0)</formula>
    </cfRule>
  </conditionalFormatting>
  <conditionalFormatting sqref="B7">
    <cfRule type="expression" dxfId="41" priority="11">
      <formula>$B$7=DATE(1900,1,0)</formula>
    </cfRule>
  </conditionalFormatting>
  <conditionalFormatting sqref="C3">
    <cfRule type="expression" dxfId="40" priority="7">
      <formula>$C$3=0</formula>
    </cfRule>
  </conditionalFormatting>
  <conditionalFormatting sqref="C4:C7">
    <cfRule type="expression" dxfId="39" priority="6">
      <formula>$C$4=0</formula>
    </cfRule>
  </conditionalFormatting>
  <conditionalFormatting sqref="D3">
    <cfRule type="expression" dxfId="38" priority="5">
      <formula>$D$3=0</formula>
    </cfRule>
  </conditionalFormatting>
  <conditionalFormatting sqref="D4">
    <cfRule type="expression" dxfId="37" priority="1">
      <formula>$D$4=0</formula>
    </cfRule>
  </conditionalFormatting>
  <conditionalFormatting sqref="D5">
    <cfRule type="expression" dxfId="36" priority="2">
      <formula>$D$5=0</formula>
    </cfRule>
  </conditionalFormatting>
  <conditionalFormatting sqref="D6">
    <cfRule type="expression" dxfId="35" priority="3">
      <formula>$D$6=0</formula>
    </cfRule>
  </conditionalFormatting>
  <conditionalFormatting sqref="D7">
    <cfRule type="expression" dxfId="34" priority="4">
      <formula>$D$7=0</formula>
    </cfRule>
  </conditionalFormatting>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193F-3274-49FF-BF63-13F874BF3BD7}">
  <sheetPr codeName="Sheet3">
    <tabColor rgb="FFFF0000"/>
  </sheetPr>
  <dimension ref="A1:J31"/>
  <sheetViews>
    <sheetView showGridLines="0" view="pageBreakPreview" topLeftCell="A15" zoomScale="85" zoomScaleNormal="85" zoomScaleSheetLayoutView="85" workbookViewId="0">
      <selection activeCell="B30" sqref="B30:J30"/>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133</v>
      </c>
    </row>
    <row r="2" spans="1:10" ht="33.6" customHeight="1">
      <c r="A2" s="291" t="s">
        <v>134</v>
      </c>
      <c r="B2" s="291"/>
      <c r="C2" s="291"/>
      <c r="D2" s="291"/>
      <c r="E2" s="291"/>
      <c r="F2" s="291"/>
      <c r="G2" s="291"/>
      <c r="H2" s="291"/>
      <c r="I2" s="291"/>
      <c r="J2" s="291"/>
    </row>
    <row r="3" spans="1:10" ht="22.5" customHeight="1">
      <c r="H3" s="292">
        <f>【入力様式】パーティールームA!C2</f>
        <v>45930</v>
      </c>
      <c r="I3" s="293"/>
      <c r="J3" s="293"/>
    </row>
    <row r="4" spans="1:10" ht="20.55" customHeight="1">
      <c r="A4" s="33" t="s">
        <v>135</v>
      </c>
    </row>
    <row r="6" spans="1:10" ht="21" customHeight="1">
      <c r="C6" s="294" t="s">
        <v>136</v>
      </c>
      <c r="D6" s="294"/>
      <c r="E6" s="293" t="str">
        <f>【入力様式】パーティールームA!C5</f>
        <v>○○市○○区○○町111-11</v>
      </c>
      <c r="F6" s="293"/>
      <c r="G6" s="293"/>
      <c r="H6" s="293"/>
      <c r="I6" s="293"/>
      <c r="J6" s="293"/>
    </row>
    <row r="7" spans="1:10" ht="21" customHeight="1">
      <c r="C7" s="294" t="s">
        <v>137</v>
      </c>
      <c r="D7" s="294"/>
      <c r="E7" s="293" t="str">
        <f>【入力様式】パーティールームA!C3</f>
        <v>■■■■株式会社</v>
      </c>
      <c r="F7" s="293"/>
      <c r="G7" s="293"/>
      <c r="H7" s="293"/>
      <c r="I7" s="293"/>
      <c r="J7" s="293"/>
    </row>
    <row r="8" spans="1:10" ht="21" customHeight="1">
      <c r="C8" s="294" t="s">
        <v>138</v>
      </c>
      <c r="D8" s="294"/>
      <c r="E8" s="293" t="str">
        <f>【入力様式】パーティールームA!C6</f>
        <v>△△　△△</v>
      </c>
      <c r="F8" s="293"/>
      <c r="G8" s="293"/>
      <c r="H8" s="293"/>
      <c r="I8" s="293"/>
      <c r="J8" s="293"/>
    </row>
    <row r="9" spans="1:10" ht="21" customHeight="1">
      <c r="C9" s="294" t="s">
        <v>139</v>
      </c>
      <c r="D9" s="294"/>
      <c r="E9" s="293" t="str">
        <f>【入力様式】パーティールームA!C7</f>
        <v>▲▲　▲▲</v>
      </c>
      <c r="F9" s="293"/>
      <c r="G9" s="158"/>
      <c r="H9" s="33" t="s">
        <v>140</v>
      </c>
      <c r="I9" s="293" t="str">
        <f>【入力様式】パーティールームA!C8</f>
        <v>096-123-1234</v>
      </c>
      <c r="J9" s="293"/>
    </row>
    <row r="11" spans="1:10" ht="19.05" customHeight="1">
      <c r="A11" s="289" t="s">
        <v>141</v>
      </c>
      <c r="B11" s="290"/>
      <c r="C11" s="290"/>
      <c r="D11" s="290"/>
      <c r="E11" s="290"/>
      <c r="F11" s="290"/>
      <c r="G11" s="290"/>
      <c r="H11" s="290"/>
      <c r="I11" s="290"/>
      <c r="J11" s="290"/>
    </row>
    <row r="12" spans="1:10" ht="19.05" customHeight="1">
      <c r="A12" s="290"/>
      <c r="B12" s="290"/>
      <c r="C12" s="290"/>
      <c r="D12" s="290"/>
      <c r="E12" s="290"/>
      <c r="F12" s="290"/>
      <c r="G12" s="290"/>
      <c r="H12" s="290"/>
      <c r="I12" s="290"/>
      <c r="J12" s="290"/>
    </row>
    <row r="14" spans="1:10" ht="44.55" customHeight="1">
      <c r="A14" s="34" t="s">
        <v>142</v>
      </c>
      <c r="B14" s="281" t="str">
        <f>【入力様式】パーティールームA!C10</f>
        <v>●●イベント</v>
      </c>
      <c r="C14" s="281"/>
      <c r="D14" s="281"/>
      <c r="E14" s="281"/>
      <c r="F14" s="281"/>
      <c r="G14" s="281"/>
      <c r="H14" s="281"/>
      <c r="I14" s="281"/>
      <c r="J14" s="282"/>
    </row>
    <row r="15" spans="1:10" ht="50.55" customHeight="1" thickBot="1">
      <c r="A15" s="34" t="s">
        <v>143</v>
      </c>
      <c r="B15" s="281" t="str">
        <f>【入力様式】パーティールームA!C11</f>
        <v>●●向けのイベントを開催する</v>
      </c>
      <c r="C15" s="281"/>
      <c r="D15" s="281"/>
      <c r="E15" s="281"/>
      <c r="F15" s="281"/>
      <c r="G15" s="281"/>
      <c r="H15" s="283"/>
      <c r="I15" s="283"/>
      <c r="J15" s="284"/>
    </row>
    <row r="16" spans="1:10" ht="28.05" customHeight="1">
      <c r="A16" s="34" t="s">
        <v>144</v>
      </c>
      <c r="B16" s="285" t="s">
        <v>145</v>
      </c>
      <c r="C16" s="281"/>
      <c r="D16" s="281"/>
      <c r="E16" s="281"/>
      <c r="F16" s="281"/>
      <c r="G16" s="281"/>
      <c r="H16" s="286" t="s">
        <v>146</v>
      </c>
      <c r="I16" s="287"/>
      <c r="J16" s="288"/>
    </row>
    <row r="17" spans="1:10" ht="20.55" customHeight="1">
      <c r="A17" s="262" t="s">
        <v>147</v>
      </c>
      <c r="B17" s="264">
        <f>'【通常】明細)※入力不要'!B3</f>
        <v>0</v>
      </c>
      <c r="C17" s="265"/>
      <c r="D17" s="265"/>
      <c r="E17" s="265"/>
      <c r="F17" s="265"/>
      <c r="G17" s="266"/>
      <c r="H17" s="267">
        <f>'【通常】明細)※入力不要'!D3</f>
        <v>0</v>
      </c>
      <c r="I17" s="268"/>
      <c r="J17" s="271" t="s">
        <v>119</v>
      </c>
    </row>
    <row r="18" spans="1:10" ht="20.55" customHeight="1">
      <c r="A18" s="263"/>
      <c r="B18" s="273">
        <f>'【通常】明細)※入力不要'!C3</f>
        <v>0</v>
      </c>
      <c r="C18" s="274"/>
      <c r="D18" s="274"/>
      <c r="E18" s="274"/>
      <c r="F18" s="274"/>
      <c r="G18" s="275"/>
      <c r="H18" s="269"/>
      <c r="I18" s="270"/>
      <c r="J18" s="272"/>
    </row>
    <row r="19" spans="1:10" ht="20.55" customHeight="1">
      <c r="A19" s="262" t="s">
        <v>147</v>
      </c>
      <c r="B19" s="264">
        <f>'【通常】明細)※入力不要'!B4</f>
        <v>0</v>
      </c>
      <c r="C19" s="265"/>
      <c r="D19" s="265"/>
      <c r="E19" s="265"/>
      <c r="F19" s="265"/>
      <c r="G19" s="266"/>
      <c r="H19" s="267">
        <f>'【通常】明細)※入力不要'!D4</f>
        <v>0</v>
      </c>
      <c r="I19" s="268"/>
      <c r="J19" s="271" t="s">
        <v>119</v>
      </c>
    </row>
    <row r="20" spans="1:10" ht="20.55" customHeight="1">
      <c r="A20" s="263"/>
      <c r="B20" s="273">
        <f>'【通常】明細)※入力不要'!C4</f>
        <v>0</v>
      </c>
      <c r="C20" s="274"/>
      <c r="D20" s="274"/>
      <c r="E20" s="274"/>
      <c r="F20" s="274"/>
      <c r="G20" s="275"/>
      <c r="H20" s="269"/>
      <c r="I20" s="270"/>
      <c r="J20" s="272"/>
    </row>
    <row r="21" spans="1:10" ht="20.55" customHeight="1">
      <c r="A21" s="262" t="s">
        <v>147</v>
      </c>
      <c r="B21" s="264">
        <f>'【通常】明細)※入力不要'!B5</f>
        <v>0</v>
      </c>
      <c r="C21" s="265"/>
      <c r="D21" s="265"/>
      <c r="E21" s="265"/>
      <c r="F21" s="265"/>
      <c r="G21" s="266"/>
      <c r="H21" s="267">
        <f>'【通常】明細)※入力不要'!D5</f>
        <v>0</v>
      </c>
      <c r="I21" s="268"/>
      <c r="J21" s="271" t="s">
        <v>119</v>
      </c>
    </row>
    <row r="22" spans="1:10" ht="20.55" customHeight="1">
      <c r="A22" s="263"/>
      <c r="B22" s="273">
        <f>'【通常】明細)※入力不要'!C5</f>
        <v>0</v>
      </c>
      <c r="C22" s="274"/>
      <c r="D22" s="274"/>
      <c r="E22" s="274"/>
      <c r="F22" s="274"/>
      <c r="G22" s="275"/>
      <c r="H22" s="269"/>
      <c r="I22" s="270"/>
      <c r="J22" s="272"/>
    </row>
    <row r="23" spans="1:10" ht="20.55" customHeight="1">
      <c r="A23" s="262" t="s">
        <v>147</v>
      </c>
      <c r="B23" s="264">
        <f>'【通常】明細)※入力不要'!B6</f>
        <v>0</v>
      </c>
      <c r="C23" s="265"/>
      <c r="D23" s="265"/>
      <c r="E23" s="265"/>
      <c r="F23" s="265"/>
      <c r="G23" s="266"/>
      <c r="H23" s="267">
        <f>'【通常】明細)※入力不要'!D6</f>
        <v>0</v>
      </c>
      <c r="I23" s="268"/>
      <c r="J23" s="271" t="s">
        <v>119</v>
      </c>
    </row>
    <row r="24" spans="1:10" ht="20.55" customHeight="1">
      <c r="A24" s="263"/>
      <c r="B24" s="273">
        <f>'【通常】明細)※入力不要'!C6</f>
        <v>0</v>
      </c>
      <c r="C24" s="274"/>
      <c r="D24" s="274"/>
      <c r="E24" s="274"/>
      <c r="F24" s="274"/>
      <c r="G24" s="275"/>
      <c r="H24" s="269"/>
      <c r="I24" s="270"/>
      <c r="J24" s="272"/>
    </row>
    <row r="25" spans="1:10" ht="20.55" customHeight="1">
      <c r="A25" s="262" t="s">
        <v>147</v>
      </c>
      <c r="B25" s="264">
        <f>'【通常】明細)※入力不要'!B7</f>
        <v>0</v>
      </c>
      <c r="C25" s="265"/>
      <c r="D25" s="265"/>
      <c r="E25" s="265"/>
      <c r="F25" s="265"/>
      <c r="G25" s="266"/>
      <c r="H25" s="267">
        <f>'【通常】明細)※入力不要'!D7</f>
        <v>0</v>
      </c>
      <c r="I25" s="268"/>
      <c r="J25" s="271" t="s">
        <v>119</v>
      </c>
    </row>
    <row r="26" spans="1:10" ht="20.55" customHeight="1" thickBot="1">
      <c r="A26" s="263"/>
      <c r="B26" s="273">
        <f>'【通常】明細)※入力不要'!C7</f>
        <v>0</v>
      </c>
      <c r="C26" s="274"/>
      <c r="D26" s="274"/>
      <c r="E26" s="274"/>
      <c r="F26" s="274"/>
      <c r="G26" s="275"/>
      <c r="H26" s="278"/>
      <c r="I26" s="279"/>
      <c r="J26" s="280"/>
    </row>
    <row r="27" spans="1:10" ht="31.5" customHeight="1" thickBot="1">
      <c r="A27" s="159" t="s">
        <v>148</v>
      </c>
      <c r="B27" s="276">
        <f>【入力様式】パーティールームA!C15</f>
        <v>0</v>
      </c>
      <c r="C27" s="277"/>
      <c r="D27" s="277"/>
      <c r="E27" s="35" t="s">
        <v>149</v>
      </c>
      <c r="F27" s="157" t="s">
        <v>121</v>
      </c>
      <c r="G27" s="41">
        <v>1</v>
      </c>
      <c r="H27" s="33" t="s">
        <v>150</v>
      </c>
      <c r="I27" s="158">
        <v>2</v>
      </c>
      <c r="J27" s="160" t="s">
        <v>151</v>
      </c>
    </row>
    <row r="28" spans="1:10" ht="31.5" customHeight="1">
      <c r="A28" s="161" t="s">
        <v>152</v>
      </c>
      <c r="B28" s="252">
        <f>'【通常】明細)※入力不要'!F26</f>
        <v>0</v>
      </c>
      <c r="C28" s="253"/>
      <c r="D28" s="253"/>
      <c r="E28" s="37" t="s">
        <v>119</v>
      </c>
      <c r="F28" s="38" t="s">
        <v>153</v>
      </c>
      <c r="G28" s="254"/>
      <c r="H28" s="255"/>
      <c r="I28" s="255"/>
      <c r="J28" s="162" t="s">
        <v>119</v>
      </c>
    </row>
    <row r="29" spans="1:10" ht="31.5" customHeight="1" thickBot="1">
      <c r="A29" s="163" t="s">
        <v>154</v>
      </c>
      <c r="B29" s="256">
        <f>H17+H19+H21+H23+H25+B28</f>
        <v>0</v>
      </c>
      <c r="C29" s="257"/>
      <c r="D29" s="257"/>
      <c r="E29" s="36" t="s">
        <v>119</v>
      </c>
      <c r="F29" s="164"/>
      <c r="G29" s="258"/>
      <c r="H29" s="258"/>
      <c r="I29" s="258"/>
      <c r="J29" s="165"/>
    </row>
    <row r="30" spans="1:10" ht="45" customHeight="1">
      <c r="A30" s="39" t="s">
        <v>155</v>
      </c>
      <c r="B30" s="259"/>
      <c r="C30" s="260"/>
      <c r="D30" s="260"/>
      <c r="E30" s="260"/>
      <c r="F30" s="260"/>
      <c r="G30" s="260"/>
      <c r="H30" s="260"/>
      <c r="I30" s="260"/>
      <c r="J30" s="261"/>
    </row>
    <row r="31" spans="1:10" ht="17.100000000000001" customHeight="1">
      <c r="A31" s="40" t="s">
        <v>156</v>
      </c>
    </row>
  </sheetData>
  <mergeCells count="47">
    <mergeCell ref="A11:J12"/>
    <mergeCell ref="A2:J2"/>
    <mergeCell ref="H3:J3"/>
    <mergeCell ref="C6:D6"/>
    <mergeCell ref="E6:J6"/>
    <mergeCell ref="C7:D7"/>
    <mergeCell ref="E7:J7"/>
    <mergeCell ref="C8:D8"/>
    <mergeCell ref="E8:J8"/>
    <mergeCell ref="C9:D9"/>
    <mergeCell ref="E9:F9"/>
    <mergeCell ref="I9:J9"/>
    <mergeCell ref="B14:J14"/>
    <mergeCell ref="B15:J15"/>
    <mergeCell ref="B16:G16"/>
    <mergeCell ref="H16:J16"/>
    <mergeCell ref="A17:A18"/>
    <mergeCell ref="B17:G17"/>
    <mergeCell ref="H17:I18"/>
    <mergeCell ref="J17:J18"/>
    <mergeCell ref="B18:G18"/>
    <mergeCell ref="B27:D27"/>
    <mergeCell ref="A19:A20"/>
    <mergeCell ref="B19:G19"/>
    <mergeCell ref="H19:I20"/>
    <mergeCell ref="J19:J20"/>
    <mergeCell ref="B20:G20"/>
    <mergeCell ref="A23:A24"/>
    <mergeCell ref="B23:G23"/>
    <mergeCell ref="H23:I24"/>
    <mergeCell ref="J23:J24"/>
    <mergeCell ref="B24:G24"/>
    <mergeCell ref="A25:A26"/>
    <mergeCell ref="B25:G25"/>
    <mergeCell ref="H25:I26"/>
    <mergeCell ref="J25:J26"/>
    <mergeCell ref="B26:G26"/>
    <mergeCell ref="A21:A22"/>
    <mergeCell ref="B21:G21"/>
    <mergeCell ref="H21:I22"/>
    <mergeCell ref="J21:J22"/>
    <mergeCell ref="B22:G22"/>
    <mergeCell ref="B28:D28"/>
    <mergeCell ref="G28:I28"/>
    <mergeCell ref="B29:D29"/>
    <mergeCell ref="G29:I29"/>
    <mergeCell ref="B30:J30"/>
  </mergeCells>
  <phoneticPr fontId="2"/>
  <conditionalFormatting sqref="B17:G17">
    <cfRule type="expression" dxfId="33" priority="27">
      <formula>$B$17=DATE(1900,1,0)</formula>
    </cfRule>
  </conditionalFormatting>
  <conditionalFormatting sqref="B18:G18">
    <cfRule type="expression" dxfId="32" priority="22">
      <formula>$B$18=0</formula>
    </cfRule>
  </conditionalFormatting>
  <conditionalFormatting sqref="B19:G19">
    <cfRule type="expression" dxfId="31" priority="12">
      <formula>$B$17=DATE(1900,1,0)</formula>
    </cfRule>
  </conditionalFormatting>
  <conditionalFormatting sqref="B20:G20">
    <cfRule type="expression" dxfId="30" priority="8">
      <formula>$B$18=0</formula>
    </cfRule>
  </conditionalFormatting>
  <conditionalFormatting sqref="B21:G21">
    <cfRule type="expression" dxfId="29" priority="11">
      <formula>$B$17=DATE(1900,1,0)</formula>
    </cfRule>
  </conditionalFormatting>
  <conditionalFormatting sqref="B22:G22">
    <cfRule type="expression" dxfId="28" priority="7">
      <formula>$B$18=0</formula>
    </cfRule>
  </conditionalFormatting>
  <conditionalFormatting sqref="B23:G23">
    <cfRule type="expression" dxfId="27" priority="10">
      <formula>$B$17=DATE(1900,1,0)</formula>
    </cfRule>
  </conditionalFormatting>
  <conditionalFormatting sqref="B24:G24">
    <cfRule type="expression" dxfId="26" priority="6">
      <formula>$B$18=0</formula>
    </cfRule>
  </conditionalFormatting>
  <conditionalFormatting sqref="B25:G25">
    <cfRule type="expression" dxfId="25" priority="9">
      <formula>$B$17=DATE(1900,1,0)</formula>
    </cfRule>
  </conditionalFormatting>
  <conditionalFormatting sqref="B26:G26">
    <cfRule type="expression" dxfId="24" priority="5">
      <formula>$B$18=0</formula>
    </cfRule>
  </conditionalFormatting>
  <conditionalFormatting sqref="H17:I26">
    <cfRule type="expression" dxfId="23" priority="1">
      <formula>$H$17=0</formula>
    </cfRule>
  </conditionalFormatting>
  <pageMargins left="0.7" right="0.4" top="0.75" bottom="0.46" header="0.3" footer="0.3"/>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A1339-4D28-461F-BDCF-53B57E7C50FD}">
  <sheetPr codeName="Sheet4">
    <tabColor rgb="FFFF0000"/>
  </sheetPr>
  <dimension ref="A1:J31"/>
  <sheetViews>
    <sheetView showGridLines="0" view="pageBreakPreview" topLeftCell="A8" zoomScale="85" zoomScaleNormal="85" zoomScaleSheetLayoutView="85" workbookViewId="0">
      <selection activeCell="B30" sqref="B30:J30"/>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133</v>
      </c>
    </row>
    <row r="2" spans="1:10" ht="33.6" customHeight="1">
      <c r="A2" s="291" t="s">
        <v>134</v>
      </c>
      <c r="B2" s="291"/>
      <c r="C2" s="291"/>
      <c r="D2" s="291"/>
      <c r="E2" s="291"/>
      <c r="F2" s="291"/>
      <c r="G2" s="291"/>
      <c r="H2" s="291"/>
      <c r="I2" s="291"/>
      <c r="J2" s="291"/>
    </row>
    <row r="3" spans="1:10" ht="22.5" customHeight="1">
      <c r="H3" s="292">
        <f>【入力様式】パーティールームA!C2</f>
        <v>45930</v>
      </c>
      <c r="I3" s="293"/>
      <c r="J3" s="293"/>
    </row>
    <row r="4" spans="1:10" ht="20.55" customHeight="1">
      <c r="A4" s="33" t="s">
        <v>135</v>
      </c>
    </row>
    <row r="6" spans="1:10" ht="21" customHeight="1">
      <c r="C6" s="294" t="s">
        <v>136</v>
      </c>
      <c r="D6" s="294"/>
      <c r="E6" s="293" t="str">
        <f>【入力様式】パーティールームA!C5</f>
        <v>○○市○○区○○町111-11</v>
      </c>
      <c r="F6" s="293"/>
      <c r="G6" s="293"/>
      <c r="H6" s="293"/>
      <c r="I6" s="293"/>
      <c r="J6" s="293"/>
    </row>
    <row r="7" spans="1:10" ht="21" customHeight="1">
      <c r="C7" s="294" t="s">
        <v>137</v>
      </c>
      <c r="D7" s="294"/>
      <c r="E7" s="293" t="str">
        <f>【入力様式】パーティールームA!C3</f>
        <v>■■■■株式会社</v>
      </c>
      <c r="F7" s="293"/>
      <c r="G7" s="293"/>
      <c r="H7" s="293"/>
      <c r="I7" s="293"/>
      <c r="J7" s="293"/>
    </row>
    <row r="8" spans="1:10" ht="21" customHeight="1">
      <c r="C8" s="294" t="s">
        <v>138</v>
      </c>
      <c r="D8" s="294"/>
      <c r="E8" s="293" t="str">
        <f>【入力様式】パーティールームA!C6</f>
        <v>△△　△△</v>
      </c>
      <c r="F8" s="293"/>
      <c r="G8" s="293"/>
      <c r="H8" s="293"/>
      <c r="I8" s="293"/>
      <c r="J8" s="293"/>
    </row>
    <row r="9" spans="1:10" ht="21" customHeight="1">
      <c r="C9" s="294" t="s">
        <v>139</v>
      </c>
      <c r="D9" s="294"/>
      <c r="E9" s="293" t="str">
        <f>【入力様式】パーティールームA!C7</f>
        <v>▲▲　▲▲</v>
      </c>
      <c r="F9" s="293"/>
      <c r="G9" s="158"/>
      <c r="H9" s="33" t="s">
        <v>140</v>
      </c>
      <c r="I9" s="293" t="str">
        <f>【入力様式】パーティールームA!C8</f>
        <v>096-123-1234</v>
      </c>
      <c r="J9" s="293"/>
    </row>
    <row r="11" spans="1:10" ht="19.05" customHeight="1">
      <c r="A11" s="289" t="s">
        <v>141</v>
      </c>
      <c r="B11" s="290"/>
      <c r="C11" s="290"/>
      <c r="D11" s="290"/>
      <c r="E11" s="290"/>
      <c r="F11" s="290"/>
      <c r="G11" s="290"/>
      <c r="H11" s="290"/>
      <c r="I11" s="290"/>
      <c r="J11" s="290"/>
    </row>
    <row r="12" spans="1:10" ht="19.05" customHeight="1">
      <c r="A12" s="290"/>
      <c r="B12" s="290"/>
      <c r="C12" s="290"/>
      <c r="D12" s="290"/>
      <c r="E12" s="290"/>
      <c r="F12" s="290"/>
      <c r="G12" s="290"/>
      <c r="H12" s="290"/>
      <c r="I12" s="290"/>
      <c r="J12" s="290"/>
    </row>
    <row r="14" spans="1:10" ht="44.55" customHeight="1">
      <c r="A14" s="34" t="s">
        <v>142</v>
      </c>
      <c r="B14" s="281" t="str">
        <f>【入力様式】パーティールームA!C10</f>
        <v>●●イベント</v>
      </c>
      <c r="C14" s="281"/>
      <c r="D14" s="281"/>
      <c r="E14" s="281"/>
      <c r="F14" s="281"/>
      <c r="G14" s="281"/>
      <c r="H14" s="281"/>
      <c r="I14" s="281"/>
      <c r="J14" s="282"/>
    </row>
    <row r="15" spans="1:10" ht="50.55" customHeight="1" thickBot="1">
      <c r="A15" s="34" t="s">
        <v>143</v>
      </c>
      <c r="B15" s="281" t="str">
        <f>【入力様式】パーティールームA!C11</f>
        <v>●●向けのイベントを開催する</v>
      </c>
      <c r="C15" s="281"/>
      <c r="D15" s="281"/>
      <c r="E15" s="281"/>
      <c r="F15" s="281"/>
      <c r="G15" s="281"/>
      <c r="H15" s="283"/>
      <c r="I15" s="283"/>
      <c r="J15" s="284"/>
    </row>
    <row r="16" spans="1:10" ht="28.05" customHeight="1">
      <c r="A16" s="34" t="s">
        <v>144</v>
      </c>
      <c r="B16" s="285" t="s">
        <v>145</v>
      </c>
      <c r="C16" s="281"/>
      <c r="D16" s="281"/>
      <c r="E16" s="281"/>
      <c r="F16" s="281"/>
      <c r="G16" s="281"/>
      <c r="H16" s="286" t="s">
        <v>146</v>
      </c>
      <c r="I16" s="287"/>
      <c r="J16" s="288"/>
    </row>
    <row r="17" spans="1:10" ht="20.55" customHeight="1">
      <c r="A17" s="262" t="s">
        <v>147</v>
      </c>
      <c r="B17" s="264">
        <f>'【営利用】(明細)※入力不要'!B3</f>
        <v>0</v>
      </c>
      <c r="C17" s="265"/>
      <c r="D17" s="265"/>
      <c r="E17" s="265"/>
      <c r="F17" s="265"/>
      <c r="G17" s="266"/>
      <c r="H17" s="267">
        <f>'【営利用】(明細)※入力不要'!D3</f>
        <v>0</v>
      </c>
      <c r="I17" s="268"/>
      <c r="J17" s="271" t="s">
        <v>119</v>
      </c>
    </row>
    <row r="18" spans="1:10" ht="20.55" customHeight="1">
      <c r="A18" s="263"/>
      <c r="B18" s="273">
        <f>'【営利用】(明細)※入力不要'!C3</f>
        <v>0</v>
      </c>
      <c r="C18" s="274"/>
      <c r="D18" s="274"/>
      <c r="E18" s="274"/>
      <c r="F18" s="274"/>
      <c r="G18" s="275"/>
      <c r="H18" s="269"/>
      <c r="I18" s="270"/>
      <c r="J18" s="272"/>
    </row>
    <row r="19" spans="1:10" ht="20.55" customHeight="1">
      <c r="A19" s="262" t="s">
        <v>147</v>
      </c>
      <c r="B19" s="264">
        <f>'【営利用】(明細)※入力不要'!B4</f>
        <v>0</v>
      </c>
      <c r="C19" s="265"/>
      <c r="D19" s="265"/>
      <c r="E19" s="265"/>
      <c r="F19" s="265"/>
      <c r="G19" s="266"/>
      <c r="H19" s="267">
        <f>'【営利用】(明細)※入力不要'!D4</f>
        <v>0</v>
      </c>
      <c r="I19" s="268"/>
      <c r="J19" s="271" t="s">
        <v>119</v>
      </c>
    </row>
    <row r="20" spans="1:10" ht="20.55" customHeight="1">
      <c r="A20" s="263"/>
      <c r="B20" s="273">
        <f>'【営利用】(明細)※入力不要'!C4</f>
        <v>0</v>
      </c>
      <c r="C20" s="274"/>
      <c r="D20" s="274"/>
      <c r="E20" s="274"/>
      <c r="F20" s="274"/>
      <c r="G20" s="275"/>
      <c r="H20" s="269"/>
      <c r="I20" s="270"/>
      <c r="J20" s="272"/>
    </row>
    <row r="21" spans="1:10" ht="20.55" customHeight="1">
      <c r="A21" s="262" t="s">
        <v>147</v>
      </c>
      <c r="B21" s="264">
        <f>'【営利用】(明細)※入力不要'!B5</f>
        <v>0</v>
      </c>
      <c r="C21" s="265"/>
      <c r="D21" s="265"/>
      <c r="E21" s="265"/>
      <c r="F21" s="265"/>
      <c r="G21" s="266"/>
      <c r="H21" s="267">
        <f>'【営利用】(明細)※入力不要'!D5</f>
        <v>0</v>
      </c>
      <c r="I21" s="268"/>
      <c r="J21" s="271" t="s">
        <v>119</v>
      </c>
    </row>
    <row r="22" spans="1:10" ht="20.55" customHeight="1">
      <c r="A22" s="263"/>
      <c r="B22" s="273">
        <f>'【営利用】(明細)※入力不要'!C5</f>
        <v>0</v>
      </c>
      <c r="C22" s="274"/>
      <c r="D22" s="274"/>
      <c r="E22" s="274"/>
      <c r="F22" s="274"/>
      <c r="G22" s="275"/>
      <c r="H22" s="269"/>
      <c r="I22" s="270"/>
      <c r="J22" s="272"/>
    </row>
    <row r="23" spans="1:10" ht="20.55" customHeight="1">
      <c r="A23" s="262" t="s">
        <v>147</v>
      </c>
      <c r="B23" s="264">
        <f>'【営利用】(明細)※入力不要'!B6</f>
        <v>0</v>
      </c>
      <c r="C23" s="265"/>
      <c r="D23" s="265"/>
      <c r="E23" s="265"/>
      <c r="F23" s="265"/>
      <c r="G23" s="266"/>
      <c r="H23" s="267">
        <f>'【営利用】(明細)※入力不要'!D6</f>
        <v>0</v>
      </c>
      <c r="I23" s="268"/>
      <c r="J23" s="271" t="s">
        <v>119</v>
      </c>
    </row>
    <row r="24" spans="1:10" ht="20.55" customHeight="1">
      <c r="A24" s="263"/>
      <c r="B24" s="273">
        <f>'【営利用】(明細)※入力不要'!C6</f>
        <v>0</v>
      </c>
      <c r="C24" s="274"/>
      <c r="D24" s="274"/>
      <c r="E24" s="274"/>
      <c r="F24" s="274"/>
      <c r="G24" s="275"/>
      <c r="H24" s="269"/>
      <c r="I24" s="270"/>
      <c r="J24" s="272"/>
    </row>
    <row r="25" spans="1:10" ht="20.55" customHeight="1">
      <c r="A25" s="262" t="s">
        <v>147</v>
      </c>
      <c r="B25" s="264">
        <f>'【営利用】(明細)※入力不要'!B7</f>
        <v>0</v>
      </c>
      <c r="C25" s="265"/>
      <c r="D25" s="265"/>
      <c r="E25" s="265"/>
      <c r="F25" s="265"/>
      <c r="G25" s="266"/>
      <c r="H25" s="267">
        <f>'【営利用】(明細)※入力不要'!D7</f>
        <v>0</v>
      </c>
      <c r="I25" s="268"/>
      <c r="J25" s="271" t="s">
        <v>119</v>
      </c>
    </row>
    <row r="26" spans="1:10" ht="20.55" customHeight="1" thickBot="1">
      <c r="A26" s="263"/>
      <c r="B26" s="273">
        <f>'【営利用】(明細)※入力不要'!C7</f>
        <v>0</v>
      </c>
      <c r="C26" s="274"/>
      <c r="D26" s="274"/>
      <c r="E26" s="274"/>
      <c r="F26" s="274"/>
      <c r="G26" s="275"/>
      <c r="H26" s="278"/>
      <c r="I26" s="279"/>
      <c r="J26" s="280"/>
    </row>
    <row r="27" spans="1:10" ht="31.5" customHeight="1" thickBot="1">
      <c r="A27" s="159" t="s">
        <v>148</v>
      </c>
      <c r="B27" s="276">
        <f>【入力様式】パーティールームA!C15</f>
        <v>0</v>
      </c>
      <c r="C27" s="277"/>
      <c r="D27" s="277"/>
      <c r="E27" s="35" t="s">
        <v>149</v>
      </c>
      <c r="F27" s="157" t="s">
        <v>121</v>
      </c>
      <c r="G27" s="41">
        <v>1</v>
      </c>
      <c r="H27" s="33" t="s">
        <v>150</v>
      </c>
      <c r="I27" s="158">
        <v>2</v>
      </c>
      <c r="J27" s="160" t="s">
        <v>151</v>
      </c>
    </row>
    <row r="28" spans="1:10" ht="31.5" customHeight="1">
      <c r="A28" s="161" t="s">
        <v>152</v>
      </c>
      <c r="B28" s="252">
        <f>'【営利用】(明細)※入力不要'!F26</f>
        <v>0</v>
      </c>
      <c r="C28" s="253"/>
      <c r="D28" s="253"/>
      <c r="E28" s="37" t="s">
        <v>119</v>
      </c>
      <c r="F28" s="38" t="s">
        <v>153</v>
      </c>
      <c r="G28" s="254"/>
      <c r="H28" s="255"/>
      <c r="I28" s="255"/>
      <c r="J28" s="162" t="s">
        <v>119</v>
      </c>
    </row>
    <row r="29" spans="1:10" ht="31.5" customHeight="1" thickBot="1">
      <c r="A29" s="163" t="s">
        <v>154</v>
      </c>
      <c r="B29" s="256">
        <f>H17+H19+H21+H23+H25+B28</f>
        <v>0</v>
      </c>
      <c r="C29" s="257"/>
      <c r="D29" s="257"/>
      <c r="E29" s="36" t="s">
        <v>119</v>
      </c>
      <c r="F29" s="164"/>
      <c r="G29" s="258"/>
      <c r="H29" s="258"/>
      <c r="I29" s="258"/>
      <c r="J29" s="165"/>
    </row>
    <row r="30" spans="1:10" ht="45" customHeight="1">
      <c r="A30" s="39" t="s">
        <v>155</v>
      </c>
      <c r="B30" s="259"/>
      <c r="C30" s="260"/>
      <c r="D30" s="260"/>
      <c r="E30" s="260"/>
      <c r="F30" s="260"/>
      <c r="G30" s="260"/>
      <c r="H30" s="260"/>
      <c r="I30" s="260"/>
      <c r="J30" s="261"/>
    </row>
    <row r="31" spans="1:10" ht="17.100000000000001" customHeight="1">
      <c r="A31" s="40" t="s">
        <v>156</v>
      </c>
    </row>
  </sheetData>
  <mergeCells count="47">
    <mergeCell ref="A11:J12"/>
    <mergeCell ref="A2:J2"/>
    <mergeCell ref="H3:J3"/>
    <mergeCell ref="C6:D6"/>
    <mergeCell ref="E6:J6"/>
    <mergeCell ref="C7:D7"/>
    <mergeCell ref="E7:J7"/>
    <mergeCell ref="C8:D8"/>
    <mergeCell ref="E8:J8"/>
    <mergeCell ref="C9:D9"/>
    <mergeCell ref="E9:F9"/>
    <mergeCell ref="I9:J9"/>
    <mergeCell ref="B14:J14"/>
    <mergeCell ref="B15:J15"/>
    <mergeCell ref="B16:G16"/>
    <mergeCell ref="H16:J16"/>
    <mergeCell ref="A17:A18"/>
    <mergeCell ref="B17:G17"/>
    <mergeCell ref="H17:I18"/>
    <mergeCell ref="J17:J18"/>
    <mergeCell ref="B18:G18"/>
    <mergeCell ref="A21:A22"/>
    <mergeCell ref="B21:G21"/>
    <mergeCell ref="H21:I22"/>
    <mergeCell ref="J21:J22"/>
    <mergeCell ref="B22:G22"/>
    <mergeCell ref="A19:A20"/>
    <mergeCell ref="B19:G19"/>
    <mergeCell ref="H19:I20"/>
    <mergeCell ref="J19:J20"/>
    <mergeCell ref="B20:G20"/>
    <mergeCell ref="B30:J30"/>
    <mergeCell ref="A23:A24"/>
    <mergeCell ref="B23:G23"/>
    <mergeCell ref="H23:I24"/>
    <mergeCell ref="J23:J24"/>
    <mergeCell ref="B24:G24"/>
    <mergeCell ref="A25:A26"/>
    <mergeCell ref="B25:G25"/>
    <mergeCell ref="H25:I26"/>
    <mergeCell ref="J25:J26"/>
    <mergeCell ref="B26:G26"/>
    <mergeCell ref="B27:D27"/>
    <mergeCell ref="B28:D28"/>
    <mergeCell ref="G28:I28"/>
    <mergeCell ref="B29:D29"/>
    <mergeCell ref="G29:I29"/>
  </mergeCells>
  <phoneticPr fontId="2"/>
  <conditionalFormatting sqref="B17:G17">
    <cfRule type="expression" dxfId="22" priority="27">
      <formula>$B$17=DATE(1900,1,0)</formula>
    </cfRule>
  </conditionalFormatting>
  <conditionalFormatting sqref="B18:G18">
    <cfRule type="expression" dxfId="21" priority="22">
      <formula>$B$18=0</formula>
    </cfRule>
  </conditionalFormatting>
  <conditionalFormatting sqref="B19:G19">
    <cfRule type="expression" dxfId="20" priority="12">
      <formula>$B$17=DATE(1900,1,0)</formula>
    </cfRule>
  </conditionalFormatting>
  <conditionalFormatting sqref="B20:G20">
    <cfRule type="expression" dxfId="19" priority="8">
      <formula>$B$18=0</formula>
    </cfRule>
  </conditionalFormatting>
  <conditionalFormatting sqref="B21:G21">
    <cfRule type="expression" dxfId="18" priority="11">
      <formula>$B$17=DATE(1900,1,0)</formula>
    </cfRule>
  </conditionalFormatting>
  <conditionalFormatting sqref="B22:G22">
    <cfRule type="expression" dxfId="17" priority="7">
      <formula>$B$18=0</formula>
    </cfRule>
  </conditionalFormatting>
  <conditionalFormatting sqref="B23:G23">
    <cfRule type="expression" dxfId="16" priority="10">
      <formula>$B$17=DATE(1900,1,0)</formula>
    </cfRule>
  </conditionalFormatting>
  <conditionalFormatting sqref="B24:G24">
    <cfRule type="expression" dxfId="15" priority="6">
      <formula>$B$18=0</formula>
    </cfRule>
  </conditionalFormatting>
  <conditionalFormatting sqref="B25:G25">
    <cfRule type="expression" dxfId="14" priority="9">
      <formula>$B$17=DATE(1900,1,0)</formula>
    </cfRule>
  </conditionalFormatting>
  <conditionalFormatting sqref="B26:G26">
    <cfRule type="expression" dxfId="13" priority="5">
      <formula>$B$18=0</formula>
    </cfRule>
  </conditionalFormatting>
  <conditionalFormatting sqref="H17:I26">
    <cfRule type="expression" dxfId="12" priority="1">
      <formula>$H$17=0</formula>
    </cfRule>
  </conditionalFormatting>
  <pageMargins left="0.7" right="0.4" top="0.75" bottom="0.46" header="0.3" footer="0.3"/>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078B-D8D0-452E-8A07-B525BBA3282E}">
  <sheetPr codeName="Sheet5">
    <tabColor rgb="FF0070C0"/>
  </sheetPr>
  <dimension ref="A1:J31"/>
  <sheetViews>
    <sheetView showGridLines="0" view="pageBreakPreview" zoomScale="85" zoomScaleNormal="85" zoomScaleSheetLayoutView="85" workbookViewId="0">
      <selection activeCell="B20" sqref="B20:G20"/>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157</v>
      </c>
    </row>
    <row r="2" spans="1:10" ht="33.6" customHeight="1">
      <c r="A2" s="291" t="s">
        <v>158</v>
      </c>
      <c r="B2" s="291"/>
      <c r="C2" s="291"/>
      <c r="D2" s="291"/>
      <c r="E2" s="291"/>
      <c r="F2" s="291"/>
      <c r="G2" s="291"/>
      <c r="H2" s="291"/>
      <c r="I2" s="291"/>
      <c r="J2" s="291"/>
    </row>
    <row r="3" spans="1:10" ht="22.5" customHeight="1">
      <c r="H3" s="293" t="s">
        <v>159</v>
      </c>
      <c r="I3" s="293"/>
      <c r="J3" s="293"/>
    </row>
    <row r="4" spans="1:10" ht="4.5" customHeight="1">
      <c r="H4" s="158"/>
      <c r="I4" s="158"/>
      <c r="J4" s="158"/>
    </row>
    <row r="6" spans="1:10" ht="21" customHeight="1">
      <c r="C6" s="294" t="s">
        <v>136</v>
      </c>
      <c r="D6" s="294"/>
      <c r="E6" s="293" t="str">
        <f>【入力様式】パーティールームA!C5</f>
        <v>○○市○○区○○町111-11</v>
      </c>
      <c r="F6" s="293"/>
      <c r="G6" s="293"/>
      <c r="H6" s="293"/>
      <c r="I6" s="293"/>
      <c r="J6" s="293"/>
    </row>
    <row r="7" spans="1:10" ht="21" customHeight="1">
      <c r="C7" s="294" t="s">
        <v>137</v>
      </c>
      <c r="D7" s="294"/>
      <c r="E7" s="293" t="str">
        <f>【入力様式】パーティールームA!C3</f>
        <v>■■■■株式会社</v>
      </c>
      <c r="F7" s="293"/>
      <c r="G7" s="293"/>
      <c r="H7" s="293"/>
      <c r="I7" s="293"/>
      <c r="J7" s="293"/>
    </row>
    <row r="8" spans="1:10" ht="21" customHeight="1">
      <c r="C8" s="294" t="s">
        <v>138</v>
      </c>
      <c r="D8" s="294"/>
      <c r="E8" s="293" t="str">
        <f>【入力様式】パーティールームA!C6</f>
        <v>△△　△△</v>
      </c>
      <c r="F8" s="293"/>
      <c r="G8" s="293"/>
      <c r="H8" s="293"/>
      <c r="I8" s="293"/>
      <c r="J8" s="293"/>
    </row>
    <row r="9" spans="1:10" ht="21" customHeight="1">
      <c r="C9" s="294" t="s">
        <v>160</v>
      </c>
      <c r="D9" s="294"/>
      <c r="E9" s="293"/>
      <c r="F9" s="293"/>
      <c r="G9" s="158"/>
      <c r="I9" s="293"/>
      <c r="J9" s="293"/>
    </row>
    <row r="11" spans="1:10" ht="19.05" customHeight="1">
      <c r="A11" s="289" t="s">
        <v>161</v>
      </c>
      <c r="B11" s="290"/>
      <c r="C11" s="290"/>
      <c r="D11" s="290"/>
      <c r="E11" s="290"/>
      <c r="F11" s="290"/>
      <c r="G11" s="290"/>
      <c r="H11" s="290"/>
      <c r="I11" s="290"/>
      <c r="J11" s="290"/>
    </row>
    <row r="12" spans="1:10" ht="19.05" customHeight="1">
      <c r="A12" s="290"/>
      <c r="B12" s="290"/>
      <c r="C12" s="290"/>
      <c r="D12" s="290"/>
      <c r="E12" s="290"/>
      <c r="F12" s="290"/>
      <c r="G12" s="290"/>
      <c r="H12" s="290"/>
      <c r="I12" s="290"/>
      <c r="J12" s="290"/>
    </row>
    <row r="14" spans="1:10" ht="44.55" customHeight="1">
      <c r="A14" s="34" t="s">
        <v>142</v>
      </c>
      <c r="B14" s="281" t="str">
        <f>【入力様式】パーティールームA!C10</f>
        <v>●●イベント</v>
      </c>
      <c r="C14" s="281"/>
      <c r="D14" s="281"/>
      <c r="E14" s="281"/>
      <c r="F14" s="281"/>
      <c r="G14" s="281"/>
      <c r="H14" s="281"/>
      <c r="I14" s="281"/>
      <c r="J14" s="282"/>
    </row>
    <row r="15" spans="1:10" ht="50.55" customHeight="1" thickBot="1">
      <c r="A15" s="34" t="s">
        <v>143</v>
      </c>
      <c r="B15" s="281" t="str">
        <f>【入力様式】パーティールームA!C11</f>
        <v>●●向けのイベントを開催する</v>
      </c>
      <c r="C15" s="281"/>
      <c r="D15" s="281"/>
      <c r="E15" s="281"/>
      <c r="F15" s="281"/>
      <c r="G15" s="281"/>
      <c r="H15" s="283"/>
      <c r="I15" s="283"/>
      <c r="J15" s="284"/>
    </row>
    <row r="16" spans="1:10" ht="28.05" customHeight="1">
      <c r="A16" s="34" t="s">
        <v>144</v>
      </c>
      <c r="B16" s="285" t="s">
        <v>145</v>
      </c>
      <c r="C16" s="281"/>
      <c r="D16" s="281"/>
      <c r="E16" s="281"/>
      <c r="F16" s="281"/>
      <c r="G16" s="281"/>
      <c r="H16" s="286" t="s">
        <v>146</v>
      </c>
      <c r="I16" s="287"/>
      <c r="J16" s="288"/>
    </row>
    <row r="17" spans="1:10" ht="20.55" customHeight="1">
      <c r="A17" s="262" t="s">
        <v>147</v>
      </c>
      <c r="B17" s="264">
        <f>'【通常】様式第2号(申請書)※入力不要'!B17</f>
        <v>0</v>
      </c>
      <c r="C17" s="265"/>
      <c r="D17" s="265"/>
      <c r="E17" s="265"/>
      <c r="F17" s="265"/>
      <c r="G17" s="266"/>
      <c r="H17" s="267">
        <f>'【通常】様式第2号(申請書)※入力不要'!H17</f>
        <v>0</v>
      </c>
      <c r="I17" s="268"/>
      <c r="J17" s="271" t="s">
        <v>119</v>
      </c>
    </row>
    <row r="18" spans="1:10" ht="20.55" customHeight="1">
      <c r="A18" s="263"/>
      <c r="B18" s="301">
        <f>'【通常】様式第2号(申請書)※入力不要'!B18</f>
        <v>0</v>
      </c>
      <c r="C18" s="302"/>
      <c r="D18" s="302"/>
      <c r="E18" s="302"/>
      <c r="F18" s="302"/>
      <c r="G18" s="303"/>
      <c r="H18" s="269"/>
      <c r="I18" s="270"/>
      <c r="J18" s="272"/>
    </row>
    <row r="19" spans="1:10" ht="20.55" customHeight="1">
      <c r="A19" s="262" t="s">
        <v>147</v>
      </c>
      <c r="B19" s="264">
        <f>'【通常】様式第2号(申請書)※入力不要'!B19</f>
        <v>0</v>
      </c>
      <c r="C19" s="265"/>
      <c r="D19" s="265"/>
      <c r="E19" s="265"/>
      <c r="F19" s="265"/>
      <c r="G19" s="266"/>
      <c r="H19" s="267">
        <f>'【通常】様式第2号(申請書)※入力不要'!H19</f>
        <v>0</v>
      </c>
      <c r="I19" s="268"/>
      <c r="J19" s="271" t="s">
        <v>119</v>
      </c>
    </row>
    <row r="20" spans="1:10" ht="20.55" customHeight="1">
      <c r="A20" s="263"/>
      <c r="B20" s="298">
        <f>'【通常】様式第2号(申請書)※入力不要'!B20</f>
        <v>0</v>
      </c>
      <c r="C20" s="299"/>
      <c r="D20" s="299"/>
      <c r="E20" s="299"/>
      <c r="F20" s="299"/>
      <c r="G20" s="300"/>
      <c r="H20" s="269"/>
      <c r="I20" s="270"/>
      <c r="J20" s="272"/>
    </row>
    <row r="21" spans="1:10" ht="20.55" customHeight="1">
      <c r="A21" s="262" t="s">
        <v>147</v>
      </c>
      <c r="B21" s="264">
        <f>'【通常】様式第2号(申請書)※入力不要'!B21</f>
        <v>0</v>
      </c>
      <c r="C21" s="265"/>
      <c r="D21" s="265"/>
      <c r="E21" s="265"/>
      <c r="F21" s="265"/>
      <c r="G21" s="266"/>
      <c r="H21" s="267">
        <f>'【通常】様式第2号(申請書)※入力不要'!H21</f>
        <v>0</v>
      </c>
      <c r="I21" s="268"/>
      <c r="J21" s="271" t="s">
        <v>119</v>
      </c>
    </row>
    <row r="22" spans="1:10" ht="20.55" customHeight="1">
      <c r="A22" s="263"/>
      <c r="B22" s="301">
        <f>'【通常】様式第2号(申請書)※入力不要'!B22</f>
        <v>0</v>
      </c>
      <c r="C22" s="302"/>
      <c r="D22" s="302"/>
      <c r="E22" s="302"/>
      <c r="F22" s="302"/>
      <c r="G22" s="303"/>
      <c r="H22" s="269"/>
      <c r="I22" s="270"/>
      <c r="J22" s="272"/>
    </row>
    <row r="23" spans="1:10" ht="20.55" customHeight="1">
      <c r="A23" s="262" t="s">
        <v>147</v>
      </c>
      <c r="B23" s="264">
        <f>'【通常】様式第2号(申請書)※入力不要'!B23</f>
        <v>0</v>
      </c>
      <c r="C23" s="265"/>
      <c r="D23" s="265"/>
      <c r="E23" s="265"/>
      <c r="F23" s="265"/>
      <c r="G23" s="266"/>
      <c r="H23" s="267">
        <f>'【通常】様式第2号(申請書)※入力不要'!H23</f>
        <v>0</v>
      </c>
      <c r="I23" s="268"/>
      <c r="J23" s="271" t="s">
        <v>119</v>
      </c>
    </row>
    <row r="24" spans="1:10" ht="20.55" customHeight="1">
      <c r="A24" s="263"/>
      <c r="B24" s="301">
        <f>'【通常】様式第2号(申請書)※入力不要'!B24</f>
        <v>0</v>
      </c>
      <c r="C24" s="302"/>
      <c r="D24" s="302"/>
      <c r="E24" s="302"/>
      <c r="F24" s="302"/>
      <c r="G24" s="303"/>
      <c r="H24" s="269"/>
      <c r="I24" s="270"/>
      <c r="J24" s="272"/>
    </row>
    <row r="25" spans="1:10" ht="20.55" customHeight="1">
      <c r="A25" s="262" t="s">
        <v>147</v>
      </c>
      <c r="B25" s="264">
        <f>'【通常】様式第2号(申請書)※入力不要'!B25</f>
        <v>0</v>
      </c>
      <c r="C25" s="265"/>
      <c r="D25" s="265"/>
      <c r="E25" s="265"/>
      <c r="F25" s="265"/>
      <c r="G25" s="266"/>
      <c r="H25" s="267">
        <f>'【通常】様式第2号(申請書)※入力不要'!H25</f>
        <v>0</v>
      </c>
      <c r="I25" s="268"/>
      <c r="J25" s="271" t="s">
        <v>119</v>
      </c>
    </row>
    <row r="26" spans="1:10" ht="20.55" customHeight="1" thickBot="1">
      <c r="A26" s="263"/>
      <c r="B26" s="298">
        <f>'【通常】様式第2号(申請書)※入力不要'!B26</f>
        <v>0</v>
      </c>
      <c r="C26" s="299"/>
      <c r="D26" s="299"/>
      <c r="E26" s="299"/>
      <c r="F26" s="299"/>
      <c r="G26" s="300"/>
      <c r="H26" s="278"/>
      <c r="I26" s="279"/>
      <c r="J26" s="280"/>
    </row>
    <row r="27" spans="1:10" ht="31.5" customHeight="1" thickBot="1">
      <c r="A27" s="159" t="s">
        <v>148</v>
      </c>
      <c r="B27" s="276">
        <f>【入力様式】パーティールームA!C15</f>
        <v>0</v>
      </c>
      <c r="C27" s="277"/>
      <c r="D27" s="277"/>
      <c r="E27" s="35" t="s">
        <v>149</v>
      </c>
      <c r="F27" s="157" t="s">
        <v>121</v>
      </c>
      <c r="G27" s="41">
        <v>1</v>
      </c>
      <c r="H27" s="33" t="s">
        <v>150</v>
      </c>
      <c r="I27" s="158">
        <v>2</v>
      </c>
      <c r="J27" s="160" t="s">
        <v>151</v>
      </c>
    </row>
    <row r="28" spans="1:10" ht="31.5" customHeight="1">
      <c r="A28" s="161" t="s">
        <v>152</v>
      </c>
      <c r="B28" s="252">
        <f>'【通常】様式第2号(申請書)※入力不要'!B28</f>
        <v>0</v>
      </c>
      <c r="C28" s="253"/>
      <c r="D28" s="253"/>
      <c r="E28" s="37" t="s">
        <v>119</v>
      </c>
      <c r="F28" s="38" t="s">
        <v>153</v>
      </c>
      <c r="G28" s="254"/>
      <c r="H28" s="255"/>
      <c r="I28" s="255"/>
      <c r="J28" s="162" t="s">
        <v>119</v>
      </c>
    </row>
    <row r="29" spans="1:10" ht="31.5" customHeight="1" thickBot="1">
      <c r="A29" s="163" t="s">
        <v>154</v>
      </c>
      <c r="B29" s="256">
        <f>'【通常】様式第2号(申請書)※入力不要'!B29</f>
        <v>0</v>
      </c>
      <c r="C29" s="257"/>
      <c r="D29" s="257"/>
      <c r="E29" s="36" t="s">
        <v>119</v>
      </c>
      <c r="F29" s="164"/>
      <c r="G29" s="258"/>
      <c r="H29" s="258"/>
      <c r="I29" s="258"/>
      <c r="J29" s="165"/>
    </row>
    <row r="30" spans="1:10" ht="64.05" customHeight="1">
      <c r="A30" s="39" t="s">
        <v>155</v>
      </c>
      <c r="B30" s="295" t="s">
        <v>162</v>
      </c>
      <c r="C30" s="296"/>
      <c r="D30" s="296"/>
      <c r="E30" s="296"/>
      <c r="F30" s="296"/>
      <c r="G30" s="296"/>
      <c r="H30" s="296"/>
      <c r="I30" s="296"/>
      <c r="J30" s="297"/>
    </row>
    <row r="31" spans="1:10" ht="17.100000000000001" customHeight="1">
      <c r="A31" s="40" t="s">
        <v>156</v>
      </c>
    </row>
  </sheetData>
  <mergeCells count="47">
    <mergeCell ref="A11:J12"/>
    <mergeCell ref="A2:J2"/>
    <mergeCell ref="H3:J3"/>
    <mergeCell ref="C6:D6"/>
    <mergeCell ref="E6:J6"/>
    <mergeCell ref="C7:D7"/>
    <mergeCell ref="E7:J7"/>
    <mergeCell ref="C8:D8"/>
    <mergeCell ref="E8:J8"/>
    <mergeCell ref="C9:D9"/>
    <mergeCell ref="E9:F9"/>
    <mergeCell ref="I9:J9"/>
    <mergeCell ref="B14:J14"/>
    <mergeCell ref="B15:J15"/>
    <mergeCell ref="B16:G16"/>
    <mergeCell ref="H16:J16"/>
    <mergeCell ref="A17:A18"/>
    <mergeCell ref="B17:G17"/>
    <mergeCell ref="H17:I18"/>
    <mergeCell ref="J17:J18"/>
    <mergeCell ref="B18:G18"/>
    <mergeCell ref="B27:D27"/>
    <mergeCell ref="A21:A22"/>
    <mergeCell ref="B21:G21"/>
    <mergeCell ref="H21:I22"/>
    <mergeCell ref="J21:J22"/>
    <mergeCell ref="B22:G22"/>
    <mergeCell ref="A23:A24"/>
    <mergeCell ref="B23:G23"/>
    <mergeCell ref="H23:I24"/>
    <mergeCell ref="J23:J24"/>
    <mergeCell ref="B24:G24"/>
    <mergeCell ref="A25:A26"/>
    <mergeCell ref="B25:G25"/>
    <mergeCell ref="H25:I26"/>
    <mergeCell ref="J25:J26"/>
    <mergeCell ref="B26:G26"/>
    <mergeCell ref="A19:A20"/>
    <mergeCell ref="B19:G19"/>
    <mergeCell ref="H19:I20"/>
    <mergeCell ref="J19:J20"/>
    <mergeCell ref="B20:G20"/>
    <mergeCell ref="B28:D28"/>
    <mergeCell ref="G28:I28"/>
    <mergeCell ref="B29:D29"/>
    <mergeCell ref="G29:I29"/>
    <mergeCell ref="B30:J30"/>
  </mergeCells>
  <phoneticPr fontId="2"/>
  <conditionalFormatting sqref="B17:G26">
    <cfRule type="expression" dxfId="11" priority="15">
      <formula>$B$17=DATE(1900,1,0)</formula>
    </cfRule>
  </conditionalFormatting>
  <conditionalFormatting sqref="H19">
    <cfRule type="expression" dxfId="10" priority="1">
      <formula>$H$19=0</formula>
    </cfRule>
  </conditionalFormatting>
  <conditionalFormatting sqref="H21">
    <cfRule type="expression" dxfId="9" priority="2">
      <formula>$H$21=0</formula>
    </cfRule>
  </conditionalFormatting>
  <conditionalFormatting sqref="H23">
    <cfRule type="expression" dxfId="8" priority="3">
      <formula>$H$23=0</formula>
    </cfRule>
  </conditionalFormatting>
  <conditionalFormatting sqref="H25">
    <cfRule type="expression" dxfId="7" priority="4">
      <formula>$H$25=0</formula>
    </cfRule>
  </conditionalFormatting>
  <conditionalFormatting sqref="H17:I18">
    <cfRule type="expression" dxfId="6" priority="5">
      <formula>$H$17=0</formula>
    </cfRule>
  </conditionalFormatting>
  <pageMargins left="0.7" right="0.4" top="0.75" bottom="0.46" header="0.3" footer="0.3"/>
  <pageSetup paperSize="9" scale="9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46ece12-4c61-4aa2-9bfa-749ade192190" xsi:nil="true"/>
    <lcf76f155ced4ddcb4097134ff3c332f xmlns="22197119-58f6-4a6e-83b6-0c0e733d8f8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59EDCBDDDBDB4E9A42869EB55FC1F3" ma:contentTypeVersion="13" ma:contentTypeDescription="新しいドキュメントを作成します。" ma:contentTypeScope="" ma:versionID="62e1b2d49ea53ea1d841f83b992ca078">
  <xsd:schema xmlns:xsd="http://www.w3.org/2001/XMLSchema" xmlns:xs="http://www.w3.org/2001/XMLSchema" xmlns:p="http://schemas.microsoft.com/office/2006/metadata/properties" xmlns:ns2="22197119-58f6-4a6e-83b6-0c0e733d8f82" xmlns:ns3="646ece12-4c61-4aa2-9bfa-749ade192190" targetNamespace="http://schemas.microsoft.com/office/2006/metadata/properties" ma:root="true" ma:fieldsID="296c75c2665a5f42cc2a6e229978f4d2" ns2:_="" ns3:_="">
    <xsd:import namespace="22197119-58f6-4a6e-83b6-0c0e733d8f82"/>
    <xsd:import namespace="646ece12-4c61-4aa2-9bfa-749ade1921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197119-58f6-4a6e-83b6-0c0e733d8f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6ece12-4c61-4aa2-9bfa-749ade19219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e15260-9026-433a-99cf-3130345ebb4d}" ma:internalName="TaxCatchAll" ma:showField="CatchAllData" ma:web="646ece12-4c61-4aa2-9bfa-749ade1921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A58144-3DF6-4E02-BEE4-2075E23540B4}">
  <ds:schemaRefs>
    <ds:schemaRef ds:uri="http://schemas.microsoft.com/sharepoint/v3/contenttype/forms"/>
  </ds:schemaRefs>
</ds:datastoreItem>
</file>

<file path=customXml/itemProps2.xml><?xml version="1.0" encoding="utf-8"?>
<ds:datastoreItem xmlns:ds="http://schemas.openxmlformats.org/officeDocument/2006/customXml" ds:itemID="{F46ED561-C74D-4E21-800B-DABA2A2CECAA}">
  <ds:schemaRefs>
    <ds:schemaRef ds:uri="http://schemas.microsoft.com/office/2006/metadata/properties"/>
    <ds:schemaRef ds:uri="http://schemas.microsoft.com/office/infopath/2007/PartnerControls"/>
    <ds:schemaRef ds:uri="646ece12-4c61-4aa2-9bfa-749ade192190"/>
    <ds:schemaRef ds:uri="22197119-58f6-4a6e-83b6-0c0e733d8f82"/>
  </ds:schemaRefs>
</ds:datastoreItem>
</file>

<file path=customXml/itemProps3.xml><?xml version="1.0" encoding="utf-8"?>
<ds:datastoreItem xmlns:ds="http://schemas.openxmlformats.org/officeDocument/2006/customXml" ds:itemID="{D918CDAF-B5CB-4127-82A5-1C7332C7C4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197119-58f6-4a6e-83b6-0c0e733d8f82"/>
    <ds:schemaRef ds:uri="646ece12-4c61-4aa2-9bfa-749ade1921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確認事項※必ず確認ください</vt:lpstr>
      <vt:lpstr>【入力様式】パーティールームA</vt:lpstr>
      <vt:lpstr>【通常】請求書)※入力不要</vt:lpstr>
      <vt:lpstr>【通常】明細)※入力不要</vt:lpstr>
      <vt:lpstr>【営利用】請求書)※入力不要</vt:lpstr>
      <vt:lpstr>【営利用】(明細)※入力不要</vt:lpstr>
      <vt:lpstr>【通常】様式第2号(申請書)※入力不要</vt:lpstr>
      <vt:lpstr>【営利用】様式第2号(申請書)※入力不要 </vt:lpstr>
      <vt:lpstr>【通常】様式第4号(許可書))※入力不要</vt:lpstr>
      <vt:lpstr>【営利用】様式第4号(許可書) )※入力不要</vt:lpstr>
      <vt:lpstr>データ（触らない）</vt:lpstr>
      <vt:lpstr>貼付用データ</vt:lpstr>
      <vt:lpstr>'【営利用】(明細)※入力不要'!Print_Area</vt:lpstr>
      <vt:lpstr>'【営利用】請求書)※入力不要'!Print_Area</vt:lpstr>
      <vt:lpstr>'【通常】請求書)※入力不要'!Print_Area</vt:lpstr>
      <vt:lpstr>'【通常】明細)※入力不要'!Print_Area</vt:lpstr>
      <vt:lpstr>【入力様式】パーティールームA!Print_Area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池田　政紀</dc:creator>
  <cp:keywords/>
  <dc:description/>
  <cp:lastModifiedBy>morimoto</cp:lastModifiedBy>
  <cp:revision/>
  <cp:lastPrinted>2025-12-01T09:30:35Z</cp:lastPrinted>
  <dcterms:created xsi:type="dcterms:W3CDTF">2025-08-05T05:37:00Z</dcterms:created>
  <dcterms:modified xsi:type="dcterms:W3CDTF">2025-12-01T21:55:20Z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0x0101001B59EDCBDDDBDB4E9A42869EB55FC1F3</vt:lpwstr>
  </property>
  <property fmtid="{D5CDD505-2E9C-101B-9397-08002B2CF9AE}" pid="3" name="Order">
    <vt:r8>3926200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MediaServiceImageTags">
    <vt:lpwstr/>
  </property>
</Properties>
</file>